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50CFAA4-E91E-4200-85CF-DB2A7E60102B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1" sheetId="22" r:id="rId9"/>
    <sheet name="NL12" sheetId="14" r:id="rId10"/>
    <sheet name="NL13" sheetId="15" r:id="rId11"/>
    <sheet name="NL14" sheetId="16" r:id="rId12"/>
    <sheet name="NL15" sheetId="17" r:id="rId13"/>
    <sheet name="NL17" sheetId="18" r:id="rId14"/>
    <sheet name="NL18" sheetId="19" r:id="rId15"/>
    <sheet name="NL20" sheetId="4" r:id="rId16"/>
    <sheet name="NL26" sheetId="5" r:id="rId17"/>
    <sheet name="NL33" sheetId="2" r:id="rId18"/>
    <sheet name="NL36" sheetId="6" r:id="rId19"/>
    <sheet name="NL44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9" l="1"/>
  <c r="CC19" i="14" l="1"/>
  <c r="CB19" i="14"/>
  <c r="BM35" i="14"/>
  <c r="BN19" i="14"/>
  <c r="BM19" i="14"/>
  <c r="BH19" i="14"/>
  <c r="AM19" i="14" l="1"/>
  <c r="AA19" i="14"/>
  <c r="Z19" i="14"/>
  <c r="R35" i="14" l="1"/>
  <c r="R36" i="14" s="1"/>
  <c r="Q31" i="14"/>
  <c r="S31" i="14" s="1"/>
  <c r="AC16" i="8"/>
  <c r="U27" i="8"/>
  <c r="U26" i="8"/>
  <c r="U23" i="8"/>
  <c r="U16" i="8"/>
  <c r="U11" i="8"/>
  <c r="U9" i="8"/>
  <c r="U23" i="7"/>
  <c r="T23" i="7"/>
  <c r="W23" i="7"/>
  <c r="V23" i="7"/>
  <c r="Y23" i="7"/>
  <c r="X23" i="7"/>
  <c r="AA23" i="7"/>
  <c r="Z23" i="7"/>
  <c r="BE23" i="7"/>
  <c r="BD23" i="7"/>
  <c r="AS23" i="7"/>
  <c r="AR23" i="7"/>
  <c r="AW23" i="7"/>
  <c r="AV23" i="7"/>
  <c r="BC23" i="7"/>
  <c r="BB23" i="7"/>
  <c r="CO19" i="14"/>
  <c r="CN19" i="14"/>
  <c r="BK23" i="7"/>
  <c r="BJ23" i="7"/>
  <c r="Q23" i="7"/>
  <c r="P23" i="7"/>
  <c r="K23" i="7"/>
  <c r="J23" i="7"/>
  <c r="EL18" i="2"/>
  <c r="CG18" i="2"/>
  <c r="U18" i="2"/>
  <c r="N18" i="2"/>
  <c r="M18" i="2"/>
  <c r="F18" i="2"/>
  <c r="E18" i="2"/>
  <c r="EZ17" i="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H18" i="2" s="1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R18" i="2" s="1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L18" i="2" s="1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V18" i="2" s="1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EZ11" i="2"/>
  <c r="EY11" i="2"/>
  <c r="EX11" i="2"/>
  <c r="EW11" i="2"/>
  <c r="EV11" i="2"/>
  <c r="EU11" i="2"/>
  <c r="ET11" i="2"/>
  <c r="ET18" i="2" s="1"/>
  <c r="ES11" i="2"/>
  <c r="ER11" i="2"/>
  <c r="EQ11" i="2"/>
  <c r="EQ18" i="2" s="1"/>
  <c r="EP11" i="2"/>
  <c r="EO11" i="2"/>
  <c r="EN11" i="2"/>
  <c r="EM11" i="2"/>
  <c r="EL11" i="2"/>
  <c r="EK11" i="2"/>
  <c r="EJ11" i="2"/>
  <c r="EI11" i="2"/>
  <c r="EH11" i="2"/>
  <c r="EG11" i="2"/>
  <c r="EG18" i="2" s="1"/>
  <c r="EF11" i="2"/>
  <c r="EE11" i="2"/>
  <c r="EE18" i="2" s="1"/>
  <c r="ED11" i="2"/>
  <c r="EC11" i="2"/>
  <c r="EB11" i="2"/>
  <c r="EA11" i="2"/>
  <c r="DZ11" i="2"/>
  <c r="DZ18" i="2" s="1"/>
  <c r="DY11" i="2"/>
  <c r="DY18" i="2" s="1"/>
  <c r="DX11" i="2"/>
  <c r="DW11" i="2"/>
  <c r="DV11" i="2"/>
  <c r="DU11" i="2"/>
  <c r="DT11" i="2"/>
  <c r="DT18" i="2" s="1"/>
  <c r="DS11" i="2"/>
  <c r="DR11" i="2"/>
  <c r="DQ11" i="2"/>
  <c r="DQ18" i="2" s="1"/>
  <c r="DP11" i="2"/>
  <c r="DP18" i="2" s="1"/>
  <c r="DO11" i="2"/>
  <c r="DN11" i="2"/>
  <c r="DM11" i="2"/>
  <c r="DM18" i="2" s="1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Y18" i="2" s="1"/>
  <c r="CX11" i="2"/>
  <c r="CW11" i="2"/>
  <c r="CV11" i="2"/>
  <c r="CV18" i="2" s="1"/>
  <c r="CU11" i="2"/>
  <c r="CU18" i="2" s="1"/>
  <c r="CT11" i="2"/>
  <c r="CS11" i="2"/>
  <c r="CR11" i="2"/>
  <c r="CQ11" i="2"/>
  <c r="CP11" i="2"/>
  <c r="CO11" i="2"/>
  <c r="CN11" i="2"/>
  <c r="CM11" i="2"/>
  <c r="CL11" i="2"/>
  <c r="CL18" i="2" s="1"/>
  <c r="CK11" i="2"/>
  <c r="CJ11" i="2"/>
  <c r="CJ18" i="2" s="1"/>
  <c r="CI11" i="2"/>
  <c r="CH11" i="2"/>
  <c r="CG11" i="2"/>
  <c r="CF11" i="2"/>
  <c r="CE11" i="2"/>
  <c r="CD11" i="2"/>
  <c r="CC11" i="2"/>
  <c r="CB11" i="2"/>
  <c r="CB18" i="2" s="1"/>
  <c r="CA11" i="2"/>
  <c r="BZ11" i="2"/>
  <c r="BY11" i="2"/>
  <c r="BX11" i="2"/>
  <c r="BX18" i="2" s="1"/>
  <c r="BW11" i="2"/>
  <c r="BV11" i="2"/>
  <c r="BU11" i="2"/>
  <c r="BT11" i="2"/>
  <c r="BS11" i="2"/>
  <c r="BR11" i="2"/>
  <c r="BQ11" i="2"/>
  <c r="BQ18" i="2" s="1"/>
  <c r="BP11" i="2"/>
  <c r="BO11" i="2"/>
  <c r="BN11" i="2"/>
  <c r="BN18" i="2" s="1"/>
  <c r="BM11" i="2"/>
  <c r="BM18" i="2" s="1"/>
  <c r="BL11" i="2"/>
  <c r="BK11" i="2"/>
  <c r="BJ11" i="2"/>
  <c r="BJ18" i="2" s="1"/>
  <c r="BI11" i="2"/>
  <c r="BH11" i="2"/>
  <c r="BG11" i="2"/>
  <c r="BG18" i="2" s="1"/>
  <c r="BF11" i="2"/>
  <c r="BE11" i="2"/>
  <c r="BD11" i="2"/>
  <c r="BD18" i="2" s="1"/>
  <c r="BC11" i="2"/>
  <c r="BB11" i="2"/>
  <c r="BA11" i="2"/>
  <c r="AZ11" i="2"/>
  <c r="AZ18" i="2" s="1"/>
  <c r="AY11" i="2"/>
  <c r="AX11" i="2"/>
  <c r="AW11" i="2"/>
  <c r="AW18" i="2" s="1"/>
  <c r="AV11" i="2"/>
  <c r="AV18" i="2" s="1"/>
  <c r="AU11" i="2"/>
  <c r="AT11" i="2"/>
  <c r="AT18" i="2" s="1"/>
  <c r="AS11" i="2"/>
  <c r="AS18" i="2" s="1"/>
  <c r="AR11" i="2"/>
  <c r="AQ11" i="2"/>
  <c r="AP11" i="2"/>
  <c r="AP18" i="2" s="1"/>
  <c r="AO11" i="2"/>
  <c r="AN11" i="2"/>
  <c r="AM11" i="2"/>
  <c r="AM18" i="2" s="1"/>
  <c r="AL11" i="2"/>
  <c r="AK11" i="2"/>
  <c r="AJ11" i="2"/>
  <c r="AI11" i="2"/>
  <c r="AI18" i="2" s="1"/>
  <c r="AH11" i="2"/>
  <c r="AH18" i="2" s="1"/>
  <c r="AG11" i="2"/>
  <c r="AG18" i="2" s="1"/>
  <c r="AF11" i="2"/>
  <c r="AF18" i="2" s="1"/>
  <c r="AE11" i="2"/>
  <c r="AE18" i="2" s="1"/>
  <c r="AD11" i="2"/>
  <c r="AD18" i="2" s="1"/>
  <c r="AC11" i="2"/>
  <c r="AB11" i="2"/>
  <c r="AA11" i="2"/>
  <c r="Z11" i="2"/>
  <c r="Y11" i="2"/>
  <c r="X11" i="2"/>
  <c r="W11" i="2"/>
  <c r="W18" i="2" s="1"/>
  <c r="V11" i="2"/>
  <c r="U11" i="2"/>
  <c r="T11" i="2"/>
  <c r="T18" i="2" s="1"/>
  <c r="S11" i="2"/>
  <c r="S18" i="2" s="1"/>
  <c r="R11" i="2"/>
  <c r="R18" i="2" s="1"/>
  <c r="Q11" i="2"/>
  <c r="Q18" i="2" s="1"/>
  <c r="P11" i="2"/>
  <c r="P18" i="2" s="1"/>
  <c r="O11" i="2"/>
  <c r="O18" i="2" s="1"/>
  <c r="N11" i="2"/>
  <c r="M11" i="2"/>
  <c r="L11" i="2"/>
  <c r="L18" i="2" s="1"/>
  <c r="K11" i="2"/>
  <c r="K18" i="2" s="1"/>
  <c r="J11" i="2"/>
  <c r="J18" i="2" s="1"/>
  <c r="I11" i="2"/>
  <c r="I18" i="2" s="1"/>
  <c r="H11" i="2"/>
  <c r="H18" i="2" s="1"/>
  <c r="G11" i="2"/>
  <c r="G18" i="2" s="1"/>
  <c r="F11" i="2"/>
  <c r="E11" i="2"/>
  <c r="D11" i="2"/>
  <c r="D18" i="2" s="1"/>
  <c r="C11" i="2"/>
  <c r="C18" i="2" s="1"/>
  <c r="B11" i="2"/>
  <c r="B18" i="2" s="1"/>
  <c r="CO36" i="14"/>
  <c r="CN36" i="14"/>
  <c r="CL36" i="14"/>
  <c r="CK36" i="14"/>
  <c r="CI36" i="14"/>
  <c r="CH36" i="14"/>
  <c r="CF36" i="14"/>
  <c r="CF37" i="14" s="1"/>
  <c r="CE36" i="14"/>
  <c r="CE37" i="14" s="1"/>
  <c r="CC36" i="14"/>
  <c r="CB36" i="14"/>
  <c r="BZ36" i="14"/>
  <c r="BY36" i="14"/>
  <c r="BW36" i="14"/>
  <c r="BV36" i="14"/>
  <c r="BT36" i="14"/>
  <c r="BS36" i="14"/>
  <c r="BQ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P36" i="14"/>
  <c r="AO36" i="14"/>
  <c r="AM36" i="14"/>
  <c r="AL36" i="14"/>
  <c r="AJ36" i="14"/>
  <c r="AI36" i="14"/>
  <c r="AG36" i="14"/>
  <c r="AF36" i="14"/>
  <c r="AD36" i="14"/>
  <c r="AC36" i="14"/>
  <c r="AA36" i="14"/>
  <c r="Z36" i="14"/>
  <c r="X36" i="14"/>
  <c r="W36" i="14"/>
  <c r="U36" i="14"/>
  <c r="T36" i="14"/>
  <c r="O36" i="14"/>
  <c r="N36" i="14"/>
  <c r="L36" i="14"/>
  <c r="L37" i="14" s="1"/>
  <c r="K36" i="14"/>
  <c r="K37" i="14" s="1"/>
  <c r="I36" i="14"/>
  <c r="I37" i="14" s="1"/>
  <c r="H36" i="14"/>
  <c r="H37" i="14" s="1"/>
  <c r="F36" i="14"/>
  <c r="E36" i="14"/>
  <c r="E37" i="14" s="1"/>
  <c r="C36" i="14"/>
  <c r="C37" i="14" s="1"/>
  <c r="B36" i="14"/>
  <c r="B37" i="14" s="1"/>
  <c r="CP35" i="14"/>
  <c r="CM35" i="14"/>
  <c r="CJ35" i="14"/>
  <c r="CG35" i="14"/>
  <c r="CD35" i="14"/>
  <c r="CA35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P35" i="14"/>
  <c r="M35" i="14"/>
  <c r="J35" i="14"/>
  <c r="G35" i="14"/>
  <c r="D35" i="14"/>
  <c r="CP34" i="14"/>
  <c r="CM34" i="14"/>
  <c r="CJ34" i="14"/>
  <c r="CG34" i="14"/>
  <c r="CD34" i="14"/>
  <c r="CA34" i="14"/>
  <c r="BX34" i="14"/>
  <c r="BU34" i="14"/>
  <c r="BR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J34" i="14"/>
  <c r="G34" i="14"/>
  <c r="D34" i="14"/>
  <c r="CP33" i="14"/>
  <c r="CJ33" i="14"/>
  <c r="BX33" i="14"/>
  <c r="V33" i="14"/>
  <c r="J33" i="14"/>
  <c r="CP32" i="14"/>
  <c r="CM32" i="14"/>
  <c r="CJ32" i="14"/>
  <c r="CG32" i="14"/>
  <c r="CD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CP31" i="14"/>
  <c r="CM31" i="14"/>
  <c r="CJ31" i="14"/>
  <c r="CG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P31" i="14"/>
  <c r="M31" i="14"/>
  <c r="J31" i="14"/>
  <c r="G31" i="14"/>
  <c r="D31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J29" i="14"/>
  <c r="CP28" i="14"/>
  <c r="CM28" i="14"/>
  <c r="CJ28" i="14"/>
  <c r="CG28" i="14"/>
  <c r="CD28" i="14"/>
  <c r="CA28" i="14"/>
  <c r="BX28" i="14"/>
  <c r="BU28" i="14"/>
  <c r="BR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J28" i="14"/>
  <c r="G28" i="14"/>
  <c r="D28" i="14"/>
  <c r="CP27" i="14"/>
  <c r="CM27" i="14"/>
  <c r="CJ27" i="14"/>
  <c r="CG27" i="14"/>
  <c r="CD27" i="14"/>
  <c r="CA27" i="14"/>
  <c r="BX27" i="14"/>
  <c r="BU27" i="14"/>
  <c r="BR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P25" i="14"/>
  <c r="CM25" i="14"/>
  <c r="CJ25" i="14"/>
  <c r="CG25" i="14"/>
  <c r="CD25" i="14"/>
  <c r="CA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P24" i="14"/>
  <c r="CM24" i="14"/>
  <c r="CJ24" i="14"/>
  <c r="CG24" i="14"/>
  <c r="CD24" i="14"/>
  <c r="CA24" i="14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P23" i="14"/>
  <c r="CJ23" i="14"/>
  <c r="CG23" i="14"/>
  <c r="CD23" i="14"/>
  <c r="CA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J23" i="14"/>
  <c r="G23" i="14"/>
  <c r="D23" i="14"/>
  <c r="CP22" i="14"/>
  <c r="CM22" i="14"/>
  <c r="CJ22" i="14"/>
  <c r="CG22" i="14"/>
  <c r="CG36" i="14" s="1"/>
  <c r="CD22" i="14"/>
  <c r="CA22" i="14"/>
  <c r="CA36" i="14" s="1"/>
  <c r="BX22" i="14"/>
  <c r="BU22" i="14"/>
  <c r="BR22" i="14"/>
  <c r="BO22" i="14"/>
  <c r="BL22" i="14"/>
  <c r="BI22" i="14"/>
  <c r="BF22" i="14"/>
  <c r="BC22" i="14"/>
  <c r="AZ22" i="14"/>
  <c r="AW22" i="14"/>
  <c r="AW36" i="14" s="1"/>
  <c r="AT22" i="14"/>
  <c r="AQ22" i="14"/>
  <c r="AN22" i="14"/>
  <c r="AK22" i="14"/>
  <c r="AH22" i="14"/>
  <c r="AE22" i="14"/>
  <c r="AB22" i="14"/>
  <c r="Y22" i="14"/>
  <c r="V22" i="14"/>
  <c r="V36" i="14" s="1"/>
  <c r="S22" i="14"/>
  <c r="P22" i="14"/>
  <c r="M22" i="14"/>
  <c r="M36" i="14" s="1"/>
  <c r="J22" i="14"/>
  <c r="J36" i="14" s="1"/>
  <c r="G22" i="14"/>
  <c r="G36" i="14" s="1"/>
  <c r="D22" i="14"/>
  <c r="D36" i="14" s="1"/>
  <c r="CO20" i="14"/>
  <c r="CN20" i="14"/>
  <c r="CL20" i="14"/>
  <c r="CK20" i="14"/>
  <c r="CI20" i="14"/>
  <c r="CH20" i="14"/>
  <c r="CF20" i="14"/>
  <c r="CE20" i="14"/>
  <c r="CC20" i="14"/>
  <c r="CB20" i="14"/>
  <c r="BZ20" i="14"/>
  <c r="BY20" i="14"/>
  <c r="BW20" i="14"/>
  <c r="BV20" i="14"/>
  <c r="BT20" i="14"/>
  <c r="BS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S20" i="14"/>
  <c r="AR20" i="14"/>
  <c r="AP20" i="14"/>
  <c r="AO20" i="14"/>
  <c r="AM20" i="14"/>
  <c r="AL20" i="14"/>
  <c r="AJ20" i="14"/>
  <c r="AI20" i="14"/>
  <c r="AG20" i="14"/>
  <c r="AF20" i="14"/>
  <c r="AD20" i="14"/>
  <c r="AC20" i="14"/>
  <c r="AA20" i="14"/>
  <c r="Z20" i="14"/>
  <c r="X20" i="14"/>
  <c r="W20" i="14"/>
  <c r="U20" i="14"/>
  <c r="T20" i="14"/>
  <c r="R20" i="14"/>
  <c r="Q20" i="14"/>
  <c r="O20" i="14"/>
  <c r="N20" i="14"/>
  <c r="L20" i="14"/>
  <c r="K20" i="14"/>
  <c r="I20" i="14"/>
  <c r="H20" i="14"/>
  <c r="E20" i="14"/>
  <c r="C20" i="14"/>
  <c r="B20" i="14"/>
  <c r="CP19" i="14"/>
  <c r="CM19" i="14"/>
  <c r="CJ19" i="14"/>
  <c r="CG19" i="14"/>
  <c r="CD19" i="14"/>
  <c r="CA19" i="14"/>
  <c r="BX19" i="14"/>
  <c r="BU19" i="14"/>
  <c r="BR19" i="14"/>
  <c r="BO19" i="14"/>
  <c r="BL19" i="14"/>
  <c r="BI19" i="14"/>
  <c r="BF19" i="14"/>
  <c r="BC19" i="14"/>
  <c r="AZ19" i="14"/>
  <c r="AW19" i="14"/>
  <c r="AT19" i="14"/>
  <c r="AQ19" i="14"/>
  <c r="AN19" i="14"/>
  <c r="AK19" i="14"/>
  <c r="AH19" i="14"/>
  <c r="AE19" i="14"/>
  <c r="AB19" i="14"/>
  <c r="Y19" i="14"/>
  <c r="V19" i="14"/>
  <c r="S19" i="14"/>
  <c r="P19" i="14"/>
  <c r="M19" i="14"/>
  <c r="J19" i="14"/>
  <c r="G19" i="14"/>
  <c r="D19" i="14"/>
  <c r="CP18" i="14"/>
  <c r="CM18" i="14"/>
  <c r="CJ18" i="14"/>
  <c r="CG18" i="14"/>
  <c r="CD18" i="14"/>
  <c r="CA18" i="14"/>
  <c r="BX18" i="14"/>
  <c r="BU18" i="14"/>
  <c r="BR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J18" i="14"/>
  <c r="F18" i="14"/>
  <c r="F20" i="14" s="1"/>
  <c r="D18" i="14"/>
  <c r="CP17" i="14"/>
  <c r="CM17" i="14"/>
  <c r="CJ17" i="14"/>
  <c r="CG17" i="14"/>
  <c r="CD17" i="14"/>
  <c r="CA17" i="14"/>
  <c r="BX17" i="14"/>
  <c r="BU17" i="14"/>
  <c r="BR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P16" i="14"/>
  <c r="CM16" i="14"/>
  <c r="CJ16" i="14"/>
  <c r="CG16" i="14"/>
  <c r="CD16" i="14"/>
  <c r="CA16" i="14"/>
  <c r="BX16" i="14"/>
  <c r="BU16" i="14"/>
  <c r="BR16" i="14"/>
  <c r="BO16" i="14"/>
  <c r="BL16" i="14"/>
  <c r="BI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P15" i="14"/>
  <c r="CM15" i="14"/>
  <c r="CJ15" i="14"/>
  <c r="CG15" i="14"/>
  <c r="CD15" i="14"/>
  <c r="CA15" i="14"/>
  <c r="BX15" i="14"/>
  <c r="BU15" i="14"/>
  <c r="BR15" i="14"/>
  <c r="BO15" i="14"/>
  <c r="BL15" i="14"/>
  <c r="BI15" i="14"/>
  <c r="BF15" i="14"/>
  <c r="BC15" i="14"/>
  <c r="AZ15" i="14"/>
  <c r="AW15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P14" i="14"/>
  <c r="CM14" i="14"/>
  <c r="CJ14" i="14"/>
  <c r="CG14" i="14"/>
  <c r="CD14" i="14"/>
  <c r="CA14" i="14"/>
  <c r="BX14" i="14"/>
  <c r="BU14" i="14"/>
  <c r="BR14" i="14"/>
  <c r="BO14" i="14"/>
  <c r="BL14" i="14"/>
  <c r="BI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J13" i="14"/>
  <c r="G13" i="14"/>
  <c r="CP12" i="14"/>
  <c r="CM12" i="14"/>
  <c r="CJ12" i="14"/>
  <c r="CG12" i="14"/>
  <c r="CD12" i="14"/>
  <c r="CA12" i="14"/>
  <c r="BX12" i="14"/>
  <c r="BU12" i="14"/>
  <c r="BR12" i="14"/>
  <c r="BO12" i="14"/>
  <c r="BL12" i="14"/>
  <c r="BI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P11" i="14"/>
  <c r="CM11" i="14"/>
  <c r="CJ11" i="14"/>
  <c r="CG11" i="14"/>
  <c r="CD11" i="14"/>
  <c r="CA11" i="14"/>
  <c r="BX11" i="14"/>
  <c r="BU11" i="14"/>
  <c r="BR11" i="14"/>
  <c r="BO11" i="14"/>
  <c r="BL11" i="14"/>
  <c r="BI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P10" i="14"/>
  <c r="CM10" i="14"/>
  <c r="CJ10" i="14"/>
  <c r="CG10" i="14"/>
  <c r="CD10" i="14"/>
  <c r="CA10" i="14"/>
  <c r="BX10" i="14"/>
  <c r="BU10" i="14"/>
  <c r="BR10" i="14"/>
  <c r="BO10" i="14"/>
  <c r="BL10" i="14"/>
  <c r="BI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J10" i="14"/>
  <c r="J20" i="14" s="1"/>
  <c r="G10" i="14"/>
  <c r="D10" i="14"/>
  <c r="CP9" i="14"/>
  <c r="CM9" i="14"/>
  <c r="CJ9" i="14"/>
  <c r="CG9" i="14"/>
  <c r="CD9" i="14"/>
  <c r="CA9" i="14"/>
  <c r="BX9" i="14"/>
  <c r="BU9" i="14"/>
  <c r="BR9" i="14"/>
  <c r="BO9" i="14"/>
  <c r="BL9" i="14"/>
  <c r="BI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P8" i="14"/>
  <c r="CM8" i="14"/>
  <c r="CJ8" i="14"/>
  <c r="CG8" i="14"/>
  <c r="CD8" i="14"/>
  <c r="CA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P7" i="14"/>
  <c r="CM7" i="14"/>
  <c r="CJ7" i="14"/>
  <c r="CG7" i="14"/>
  <c r="CD7" i="14"/>
  <c r="CA7" i="14"/>
  <c r="BX7" i="14"/>
  <c r="BU7" i="14"/>
  <c r="BR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J7" i="14"/>
  <c r="G7" i="14"/>
  <c r="D7" i="14"/>
  <c r="CP6" i="14"/>
  <c r="CM6" i="14"/>
  <c r="CJ6" i="14"/>
  <c r="CG6" i="14"/>
  <c r="CG20" i="14" s="1"/>
  <c r="CD6" i="14"/>
  <c r="CA6" i="14"/>
  <c r="BX6" i="14"/>
  <c r="BU6" i="14"/>
  <c r="BR6" i="14"/>
  <c r="BO6" i="14"/>
  <c r="BL6" i="14"/>
  <c r="BI6" i="14"/>
  <c r="BI20" i="14" s="1"/>
  <c r="BF6" i="14"/>
  <c r="BC6" i="14"/>
  <c r="AZ6" i="14"/>
  <c r="AW6" i="14"/>
  <c r="AT6" i="14"/>
  <c r="AQ6" i="14"/>
  <c r="AN6" i="14"/>
  <c r="AK6" i="14"/>
  <c r="AH6" i="14"/>
  <c r="AE6" i="14"/>
  <c r="AB6" i="14"/>
  <c r="Y6" i="14"/>
  <c r="V6" i="14"/>
  <c r="S6" i="14"/>
  <c r="P6" i="14"/>
  <c r="M6" i="14"/>
  <c r="M20" i="14" s="1"/>
  <c r="J6" i="14"/>
  <c r="G6" i="14"/>
  <c r="D6" i="14"/>
  <c r="D20" i="14" s="1"/>
  <c r="BM17" i="12"/>
  <c r="BL17" i="12"/>
  <c r="BM16" i="12"/>
  <c r="BL16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M14" i="12"/>
  <c r="BL14" i="12"/>
  <c r="BM13" i="12"/>
  <c r="BL13" i="12"/>
  <c r="BM12" i="12"/>
  <c r="BL12" i="12"/>
  <c r="BM11" i="12"/>
  <c r="BL11" i="12"/>
  <c r="BM10" i="12"/>
  <c r="BL10" i="12"/>
  <c r="BM9" i="12"/>
  <c r="BL9" i="12"/>
  <c r="BM8" i="12"/>
  <c r="BL8" i="12"/>
  <c r="BM7" i="12"/>
  <c r="BL7" i="12"/>
  <c r="BM6" i="12"/>
  <c r="BL6" i="12"/>
  <c r="BM5" i="12"/>
  <c r="BL5" i="12"/>
  <c r="BM122" i="11"/>
  <c r="BL122" i="11"/>
  <c r="BM121" i="11"/>
  <c r="BL121" i="11"/>
  <c r="BM120" i="11"/>
  <c r="BL120" i="11"/>
  <c r="BM119" i="11"/>
  <c r="BL119" i="11"/>
  <c r="BM118" i="11"/>
  <c r="BL118" i="11"/>
  <c r="BM117" i="11"/>
  <c r="BL117" i="11"/>
  <c r="BM116" i="11"/>
  <c r="BL116" i="11"/>
  <c r="BK111" i="11"/>
  <c r="BJ111" i="11"/>
  <c r="BI111" i="11"/>
  <c r="BH111" i="11"/>
  <c r="BG111" i="11"/>
  <c r="BF111" i="11"/>
  <c r="BE111" i="11"/>
  <c r="BD111" i="11"/>
  <c r="BC111" i="11"/>
  <c r="BB111" i="11"/>
  <c r="BA111" i="11"/>
  <c r="AZ111" i="11"/>
  <c r="AY111" i="11"/>
  <c r="AX111" i="11"/>
  <c r="AW111" i="11"/>
  <c r="AV111" i="11"/>
  <c r="AU111" i="11"/>
  <c r="AT111" i="11"/>
  <c r="AS111" i="11"/>
  <c r="AR111" i="11"/>
  <c r="AQ111" i="11"/>
  <c r="AP111" i="11"/>
  <c r="AO111" i="11"/>
  <c r="AN111" i="11"/>
  <c r="AM111" i="11"/>
  <c r="AL111" i="11"/>
  <c r="AK111" i="11"/>
  <c r="AJ111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B111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B110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B109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B108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B107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B106" i="11"/>
  <c r="BK105" i="1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B105" i="11"/>
  <c r="BM100" i="11"/>
  <c r="BL100" i="11"/>
  <c r="BM99" i="11"/>
  <c r="BL99" i="11"/>
  <c r="BM98" i="11"/>
  <c r="BL98" i="11"/>
  <c r="BM97" i="11"/>
  <c r="BL97" i="11"/>
  <c r="BM96" i="11"/>
  <c r="BL96" i="11"/>
  <c r="BM95" i="11"/>
  <c r="BL95" i="11"/>
  <c r="BM94" i="11"/>
  <c r="BL94" i="11"/>
  <c r="BM89" i="11"/>
  <c r="BL89" i="11"/>
  <c r="BM88" i="11"/>
  <c r="BL88" i="11"/>
  <c r="BM87" i="11"/>
  <c r="BL87" i="11"/>
  <c r="BM86" i="11"/>
  <c r="BL86" i="11"/>
  <c r="BM85" i="11"/>
  <c r="BL85" i="11"/>
  <c r="BM84" i="11"/>
  <c r="BL84" i="11"/>
  <c r="BM83" i="11"/>
  <c r="BL83" i="11"/>
  <c r="BM78" i="11"/>
  <c r="BL78" i="11"/>
  <c r="BM77" i="11"/>
  <c r="BL77" i="11"/>
  <c r="BM76" i="11"/>
  <c r="BL76" i="11"/>
  <c r="BM75" i="11"/>
  <c r="BL75" i="11"/>
  <c r="BM74" i="11"/>
  <c r="BL74" i="11"/>
  <c r="BM73" i="11"/>
  <c r="BL73" i="11"/>
  <c r="BM72" i="11"/>
  <c r="BL72" i="11"/>
  <c r="BM67" i="11"/>
  <c r="BL67" i="11"/>
  <c r="BM66" i="11"/>
  <c r="BL66" i="11"/>
  <c r="BM65" i="11"/>
  <c r="BL65" i="11"/>
  <c r="BM64" i="11"/>
  <c r="BL64" i="11"/>
  <c r="BM63" i="11"/>
  <c r="BL63" i="11"/>
  <c r="BM62" i="11"/>
  <c r="BL62" i="11"/>
  <c r="BM61" i="11"/>
  <c r="BL61" i="11"/>
  <c r="BM56" i="11"/>
  <c r="BL56" i="11"/>
  <c r="BM55" i="11"/>
  <c r="BL55" i="11"/>
  <c r="BM54" i="11"/>
  <c r="BL54" i="11"/>
  <c r="BM53" i="11"/>
  <c r="BL53" i="11"/>
  <c r="BM52" i="11"/>
  <c r="BL52" i="11"/>
  <c r="BM51" i="11"/>
  <c r="BL51" i="11"/>
  <c r="BM50" i="11"/>
  <c r="BL50" i="11"/>
  <c r="BM45" i="11"/>
  <c r="BL45" i="11"/>
  <c r="BM44" i="11"/>
  <c r="BL44" i="11"/>
  <c r="BM43" i="11"/>
  <c r="BL43" i="11"/>
  <c r="BM42" i="11"/>
  <c r="BL42" i="11"/>
  <c r="BM41" i="11"/>
  <c r="BL41" i="11"/>
  <c r="BM40" i="11"/>
  <c r="BL40" i="11"/>
  <c r="BM39" i="11"/>
  <c r="BL39" i="11"/>
  <c r="BM34" i="11"/>
  <c r="BL34" i="11"/>
  <c r="BM33" i="11"/>
  <c r="BL33" i="11"/>
  <c r="BM32" i="11"/>
  <c r="BL32" i="11"/>
  <c r="BM31" i="11"/>
  <c r="BL31" i="11"/>
  <c r="BM30" i="11"/>
  <c r="BL30" i="11"/>
  <c r="BM29" i="11"/>
  <c r="BL29" i="11"/>
  <c r="BM28" i="11"/>
  <c r="BL28" i="11"/>
  <c r="BM23" i="11"/>
  <c r="BL23" i="11"/>
  <c r="BM22" i="11"/>
  <c r="BL22" i="11"/>
  <c r="BM21" i="11"/>
  <c r="BL21" i="11"/>
  <c r="BM20" i="11"/>
  <c r="BL20" i="11"/>
  <c r="BM19" i="11"/>
  <c r="BL19" i="11"/>
  <c r="BM18" i="11"/>
  <c r="BL18" i="11"/>
  <c r="BM17" i="11"/>
  <c r="BL17" i="11"/>
  <c r="BM12" i="11"/>
  <c r="BL12" i="11"/>
  <c r="BM11" i="11"/>
  <c r="BL11" i="11"/>
  <c r="BM10" i="11"/>
  <c r="BL10" i="11"/>
  <c r="BM9" i="11"/>
  <c r="BL9" i="11"/>
  <c r="BM8" i="11"/>
  <c r="BL8" i="11"/>
  <c r="BM7" i="11"/>
  <c r="BL7" i="11"/>
  <c r="BM6" i="11"/>
  <c r="BL6" i="11"/>
  <c r="BM122" i="10"/>
  <c r="BL122" i="10"/>
  <c r="BM121" i="10"/>
  <c r="BL121" i="10"/>
  <c r="BM120" i="10"/>
  <c r="BL120" i="10"/>
  <c r="BM119" i="10"/>
  <c r="BL119" i="10"/>
  <c r="BM118" i="10"/>
  <c r="BL118" i="10"/>
  <c r="BM117" i="10"/>
  <c r="BL117" i="10"/>
  <c r="BM116" i="10"/>
  <c r="BL116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BM100" i="10"/>
  <c r="BL100" i="10"/>
  <c r="BM99" i="10"/>
  <c r="BL99" i="10"/>
  <c r="BM98" i="10"/>
  <c r="BL98" i="10"/>
  <c r="BM97" i="10"/>
  <c r="BL97" i="10"/>
  <c r="BM96" i="10"/>
  <c r="BL96" i="10"/>
  <c r="BM95" i="10"/>
  <c r="BL95" i="10"/>
  <c r="BM94" i="10"/>
  <c r="BL94" i="10"/>
  <c r="BM89" i="10"/>
  <c r="BL89" i="10"/>
  <c r="BM88" i="10"/>
  <c r="BL88" i="10"/>
  <c r="BM87" i="10"/>
  <c r="BL87" i="10"/>
  <c r="BM86" i="10"/>
  <c r="BL86" i="10"/>
  <c r="BM85" i="10"/>
  <c r="BL85" i="10"/>
  <c r="BM84" i="10"/>
  <c r="BL84" i="10"/>
  <c r="BM83" i="10"/>
  <c r="BL83" i="10"/>
  <c r="BM78" i="10"/>
  <c r="BL78" i="10"/>
  <c r="BM77" i="10"/>
  <c r="BL77" i="10"/>
  <c r="BM76" i="10"/>
  <c r="BL76" i="10"/>
  <c r="BM75" i="10"/>
  <c r="BL75" i="10"/>
  <c r="BM74" i="10"/>
  <c r="BL74" i="10"/>
  <c r="BM73" i="10"/>
  <c r="BL73" i="10"/>
  <c r="BM72" i="10"/>
  <c r="BL72" i="10"/>
  <c r="BM67" i="10"/>
  <c r="BL67" i="10"/>
  <c r="BM66" i="10"/>
  <c r="BL66" i="10"/>
  <c r="BM65" i="10"/>
  <c r="BL65" i="10"/>
  <c r="BM64" i="10"/>
  <c r="BL64" i="10"/>
  <c r="BM63" i="10"/>
  <c r="BL63" i="10"/>
  <c r="BM62" i="10"/>
  <c r="BL62" i="10"/>
  <c r="BM61" i="10"/>
  <c r="BL61" i="10"/>
  <c r="BM56" i="10"/>
  <c r="BL56" i="10"/>
  <c r="BM55" i="10"/>
  <c r="BL55" i="10"/>
  <c r="BM54" i="10"/>
  <c r="BL54" i="10"/>
  <c r="BM53" i="10"/>
  <c r="BL53" i="10"/>
  <c r="BM52" i="10"/>
  <c r="BL52" i="10"/>
  <c r="BM51" i="10"/>
  <c r="BL51" i="10"/>
  <c r="BM50" i="10"/>
  <c r="BL50" i="10"/>
  <c r="BM45" i="10"/>
  <c r="BL45" i="10"/>
  <c r="BM44" i="10"/>
  <c r="BL44" i="10"/>
  <c r="BM43" i="10"/>
  <c r="BL43" i="10"/>
  <c r="BM42" i="10"/>
  <c r="BL42" i="10"/>
  <c r="BM41" i="10"/>
  <c r="BL41" i="10"/>
  <c r="BM40" i="10"/>
  <c r="BL40" i="10"/>
  <c r="BM39" i="10"/>
  <c r="BL39" i="10"/>
  <c r="BM34" i="10"/>
  <c r="BL34" i="10"/>
  <c r="BM33" i="10"/>
  <c r="BL33" i="10"/>
  <c r="BM32" i="10"/>
  <c r="BL32" i="10"/>
  <c r="BM31" i="10"/>
  <c r="BL31" i="10"/>
  <c r="BM30" i="10"/>
  <c r="BL30" i="10"/>
  <c r="BM29" i="10"/>
  <c r="BL29" i="10"/>
  <c r="BM28" i="10"/>
  <c r="BL28" i="10"/>
  <c r="BM23" i="10"/>
  <c r="BL23" i="10"/>
  <c r="BM22" i="10"/>
  <c r="BL22" i="10"/>
  <c r="BM21" i="10"/>
  <c r="BL21" i="10"/>
  <c r="BM20" i="10"/>
  <c r="BL20" i="10"/>
  <c r="BM19" i="10"/>
  <c r="BL19" i="10"/>
  <c r="BM18" i="10"/>
  <c r="BL18" i="10"/>
  <c r="BM17" i="10"/>
  <c r="BL17" i="10"/>
  <c r="BM12" i="10"/>
  <c r="BL12" i="10"/>
  <c r="BM11" i="10"/>
  <c r="BL11" i="10"/>
  <c r="BM10" i="10"/>
  <c r="BL10" i="10"/>
  <c r="BM9" i="10"/>
  <c r="BL9" i="10"/>
  <c r="BM8" i="10"/>
  <c r="BL8" i="10"/>
  <c r="BM7" i="10"/>
  <c r="BL7" i="10"/>
  <c r="BM6" i="10"/>
  <c r="BL6" i="10"/>
  <c r="BM122" i="9"/>
  <c r="BL122" i="9"/>
  <c r="BM121" i="9"/>
  <c r="BL121" i="9"/>
  <c r="BM120" i="9"/>
  <c r="BL120" i="9"/>
  <c r="BM119" i="9"/>
  <c r="BL119" i="9"/>
  <c r="BM118" i="9"/>
  <c r="BL118" i="9"/>
  <c r="BM117" i="9"/>
  <c r="BL117" i="9"/>
  <c r="BM116" i="9"/>
  <c r="BL116" i="9"/>
  <c r="BK111" i="9"/>
  <c r="BJ111" i="9"/>
  <c r="BI111" i="9"/>
  <c r="BH111" i="9"/>
  <c r="BG111" i="9"/>
  <c r="BF111" i="9"/>
  <c r="BE111" i="9"/>
  <c r="BD111" i="9"/>
  <c r="BC111" i="9"/>
  <c r="BB111" i="9"/>
  <c r="BA111" i="9"/>
  <c r="AZ111" i="9"/>
  <c r="AY111" i="9"/>
  <c r="AX111" i="9"/>
  <c r="AW111" i="9"/>
  <c r="AV111" i="9"/>
  <c r="AU111" i="9"/>
  <c r="AT111" i="9"/>
  <c r="AS111" i="9"/>
  <c r="AR111" i="9"/>
  <c r="AQ111" i="9"/>
  <c r="AP111" i="9"/>
  <c r="AO111" i="9"/>
  <c r="AN111" i="9"/>
  <c r="AM111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BK110" i="9"/>
  <c r="BJ110" i="9"/>
  <c r="BI110" i="9"/>
  <c r="BH110" i="9"/>
  <c r="BG110" i="9"/>
  <c r="BF110" i="9"/>
  <c r="BE110" i="9"/>
  <c r="BD110" i="9"/>
  <c r="BC110" i="9"/>
  <c r="BB110" i="9"/>
  <c r="BA110" i="9"/>
  <c r="AZ110" i="9"/>
  <c r="AY110" i="9"/>
  <c r="AX110" i="9"/>
  <c r="AW110" i="9"/>
  <c r="AV110" i="9"/>
  <c r="AU110" i="9"/>
  <c r="AT110" i="9"/>
  <c r="AS110" i="9"/>
  <c r="AR110" i="9"/>
  <c r="AQ110" i="9"/>
  <c r="AP110" i="9"/>
  <c r="AO110" i="9"/>
  <c r="AN110" i="9"/>
  <c r="AM110" i="9"/>
  <c r="AL110" i="9"/>
  <c r="AK110" i="9"/>
  <c r="AJ110" i="9"/>
  <c r="AI110" i="9"/>
  <c r="AH110" i="9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AP109" i="9"/>
  <c r="AO109" i="9"/>
  <c r="AN109" i="9"/>
  <c r="AM109" i="9"/>
  <c r="AL109" i="9"/>
  <c r="AK109" i="9"/>
  <c r="AJ109" i="9"/>
  <c r="AI109" i="9"/>
  <c r="AH109" i="9"/>
  <c r="AG109" i="9"/>
  <c r="AF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I108" i="9"/>
  <c r="AH108" i="9"/>
  <c r="AG108" i="9"/>
  <c r="AF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AP107" i="9"/>
  <c r="AO107" i="9"/>
  <c r="AN107" i="9"/>
  <c r="AM107" i="9"/>
  <c r="AL107" i="9"/>
  <c r="AK107" i="9"/>
  <c r="AJ107" i="9"/>
  <c r="AI107" i="9"/>
  <c r="AH107" i="9"/>
  <c r="AG107" i="9"/>
  <c r="AF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B107" i="9"/>
  <c r="BK106" i="9"/>
  <c r="BJ106" i="9"/>
  <c r="BI106" i="9"/>
  <c r="BH106" i="9"/>
  <c r="BG106" i="9"/>
  <c r="BF106" i="9"/>
  <c r="BE106" i="9"/>
  <c r="BD106" i="9"/>
  <c r="BC106" i="9"/>
  <c r="BB106" i="9"/>
  <c r="BA106" i="9"/>
  <c r="AZ106" i="9"/>
  <c r="AY106" i="9"/>
  <c r="AX106" i="9"/>
  <c r="AW106" i="9"/>
  <c r="AV106" i="9"/>
  <c r="AU106" i="9"/>
  <c r="AT106" i="9"/>
  <c r="AS106" i="9"/>
  <c r="AR106" i="9"/>
  <c r="AQ106" i="9"/>
  <c r="AP106" i="9"/>
  <c r="AO106" i="9"/>
  <c r="AN106" i="9"/>
  <c r="AM106" i="9"/>
  <c r="AL106" i="9"/>
  <c r="AK106" i="9"/>
  <c r="AJ106" i="9"/>
  <c r="AI106" i="9"/>
  <c r="AH106" i="9"/>
  <c r="AG106" i="9"/>
  <c r="AF106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BK105" i="9"/>
  <c r="BJ105" i="9"/>
  <c r="BI105" i="9"/>
  <c r="BH105" i="9"/>
  <c r="BG105" i="9"/>
  <c r="BF105" i="9"/>
  <c r="BE105" i="9"/>
  <c r="BD105" i="9"/>
  <c r="BC105" i="9"/>
  <c r="BB105" i="9"/>
  <c r="BA105" i="9"/>
  <c r="AZ105" i="9"/>
  <c r="AY105" i="9"/>
  <c r="AX105" i="9"/>
  <c r="AW105" i="9"/>
  <c r="AV105" i="9"/>
  <c r="AU105" i="9"/>
  <c r="AT105" i="9"/>
  <c r="AS105" i="9"/>
  <c r="AR105" i="9"/>
  <c r="AQ105" i="9"/>
  <c r="AP105" i="9"/>
  <c r="AO105" i="9"/>
  <c r="AN105" i="9"/>
  <c r="AM105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BM100" i="9"/>
  <c r="BL100" i="9"/>
  <c r="BM99" i="9"/>
  <c r="BL99" i="9"/>
  <c r="BM98" i="9"/>
  <c r="BL98" i="9"/>
  <c r="BM97" i="9"/>
  <c r="BL97" i="9"/>
  <c r="BM96" i="9"/>
  <c r="BL96" i="9"/>
  <c r="BM95" i="9"/>
  <c r="BL95" i="9"/>
  <c r="BM94" i="9"/>
  <c r="BL94" i="9"/>
  <c r="BM89" i="9"/>
  <c r="BL89" i="9"/>
  <c r="BM88" i="9"/>
  <c r="BL88" i="9"/>
  <c r="BM87" i="9"/>
  <c r="BL87" i="9"/>
  <c r="BM86" i="9"/>
  <c r="BL86" i="9"/>
  <c r="BM85" i="9"/>
  <c r="BL85" i="9"/>
  <c r="BM84" i="9"/>
  <c r="BL84" i="9"/>
  <c r="BM83" i="9"/>
  <c r="BL83" i="9"/>
  <c r="BM78" i="9"/>
  <c r="BL78" i="9"/>
  <c r="BM77" i="9"/>
  <c r="BL77" i="9"/>
  <c r="BM76" i="9"/>
  <c r="BL76" i="9"/>
  <c r="BM75" i="9"/>
  <c r="BL75" i="9"/>
  <c r="BM74" i="9"/>
  <c r="BL74" i="9"/>
  <c r="BM73" i="9"/>
  <c r="BL73" i="9"/>
  <c r="BM72" i="9"/>
  <c r="BL72" i="9"/>
  <c r="BM67" i="9"/>
  <c r="BL67" i="9"/>
  <c r="BM66" i="9"/>
  <c r="BL66" i="9"/>
  <c r="BM65" i="9"/>
  <c r="BL65" i="9"/>
  <c r="BM64" i="9"/>
  <c r="BL64" i="9"/>
  <c r="BM63" i="9"/>
  <c r="BL63" i="9"/>
  <c r="BM62" i="9"/>
  <c r="BL62" i="9"/>
  <c r="BM61" i="9"/>
  <c r="BL61" i="9"/>
  <c r="BM56" i="9"/>
  <c r="BL56" i="9"/>
  <c r="BM55" i="9"/>
  <c r="BL55" i="9"/>
  <c r="BM54" i="9"/>
  <c r="BL54" i="9"/>
  <c r="BM53" i="9"/>
  <c r="BL53" i="9"/>
  <c r="BM52" i="9"/>
  <c r="BL52" i="9"/>
  <c r="BM51" i="9"/>
  <c r="BL51" i="9"/>
  <c r="BM50" i="9"/>
  <c r="BL50" i="9"/>
  <c r="BM45" i="9"/>
  <c r="BL45" i="9"/>
  <c r="BM44" i="9"/>
  <c r="BL44" i="9"/>
  <c r="BM43" i="9"/>
  <c r="BL43" i="9"/>
  <c r="BM42" i="9"/>
  <c r="BL42" i="9"/>
  <c r="BM41" i="9"/>
  <c r="BL41" i="9"/>
  <c r="BM40" i="9"/>
  <c r="BL40" i="9"/>
  <c r="BM39" i="9"/>
  <c r="BL39" i="9"/>
  <c r="BM34" i="9"/>
  <c r="BL34" i="9"/>
  <c r="BM33" i="9"/>
  <c r="BL33" i="9"/>
  <c r="BM32" i="9"/>
  <c r="BL32" i="9"/>
  <c r="BM31" i="9"/>
  <c r="BL31" i="9"/>
  <c r="BM30" i="9"/>
  <c r="BL30" i="9"/>
  <c r="BM29" i="9"/>
  <c r="BL29" i="9"/>
  <c r="BM28" i="9"/>
  <c r="BL28" i="9"/>
  <c r="BM23" i="9"/>
  <c r="BL23" i="9"/>
  <c r="BM22" i="9"/>
  <c r="BL22" i="9"/>
  <c r="BM21" i="9"/>
  <c r="BL21" i="9"/>
  <c r="BM20" i="9"/>
  <c r="BL20" i="9"/>
  <c r="BM19" i="9"/>
  <c r="BL19" i="9"/>
  <c r="BM18" i="9"/>
  <c r="BL18" i="9"/>
  <c r="BM17" i="9"/>
  <c r="BL17" i="9"/>
  <c r="BM12" i="9"/>
  <c r="BL12" i="9"/>
  <c r="BM11" i="9"/>
  <c r="BL11" i="9"/>
  <c r="BM10" i="9"/>
  <c r="BL10" i="9"/>
  <c r="BM9" i="9"/>
  <c r="BL9" i="9"/>
  <c r="BM8" i="9"/>
  <c r="BL8" i="9"/>
  <c r="BM7" i="9"/>
  <c r="BL7" i="9"/>
  <c r="BM6" i="9"/>
  <c r="BL6" i="9"/>
  <c r="AG30" i="8"/>
  <c r="AG29" i="8"/>
  <c r="AG28" i="8"/>
  <c r="AF26" i="8"/>
  <c r="AE26" i="8"/>
  <c r="AD26" i="8"/>
  <c r="AC26" i="8"/>
  <c r="AB26" i="8"/>
  <c r="AA26" i="8"/>
  <c r="Z26" i="8"/>
  <c r="Y26" i="8"/>
  <c r="X26" i="8"/>
  <c r="W26" i="8"/>
  <c r="V26" i="8"/>
  <c r="T26" i="8"/>
  <c r="S26" i="8"/>
  <c r="R26" i="8"/>
  <c r="Q26" i="8"/>
  <c r="Q27" i="8" s="1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D27" i="8" s="1"/>
  <c r="C26" i="8"/>
  <c r="B26" i="8"/>
  <c r="B27" i="8" s="1"/>
  <c r="AG25" i="8"/>
  <c r="AG24" i="8"/>
  <c r="AF23" i="8"/>
  <c r="AF27" i="8" s="1"/>
  <c r="AE23" i="8"/>
  <c r="AE27" i="8" s="1"/>
  <c r="AD23" i="8"/>
  <c r="AD27" i="8" s="1"/>
  <c r="AC23" i="8"/>
  <c r="AC27" i="8" s="1"/>
  <c r="AB23" i="8"/>
  <c r="AB27" i="8" s="1"/>
  <c r="AA23" i="8"/>
  <c r="AA27" i="8" s="1"/>
  <c r="Z23" i="8"/>
  <c r="Z27" i="8" s="1"/>
  <c r="Y23" i="8"/>
  <c r="X23" i="8"/>
  <c r="W23" i="8"/>
  <c r="V23" i="8"/>
  <c r="V27" i="8" s="1"/>
  <c r="T23" i="8"/>
  <c r="S23" i="8"/>
  <c r="S27" i="8" s="1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F27" i="8" s="1"/>
  <c r="E23" i="8"/>
  <c r="E27" i="8" s="1"/>
  <c r="D23" i="8"/>
  <c r="C23" i="8"/>
  <c r="C27" i="8" s="1"/>
  <c r="B23" i="8"/>
  <c r="AG22" i="8"/>
  <c r="AG21" i="8"/>
  <c r="AG19" i="8"/>
  <c r="AG18" i="8"/>
  <c r="AG17" i="8"/>
  <c r="AF16" i="8"/>
  <c r="AE16" i="8"/>
  <c r="AD16" i="8"/>
  <c r="AB16" i="8"/>
  <c r="AA16" i="8"/>
  <c r="Z16" i="8"/>
  <c r="Y16" i="8"/>
  <c r="X16" i="8"/>
  <c r="W16" i="8"/>
  <c r="V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G15" i="8"/>
  <c r="AG14" i="8"/>
  <c r="AG12" i="8"/>
  <c r="AF11" i="8"/>
  <c r="H11" i="8"/>
  <c r="E11" i="8"/>
  <c r="B11" i="8"/>
  <c r="AG10" i="8"/>
  <c r="AF9" i="8"/>
  <c r="AE9" i="8"/>
  <c r="AE11" i="8" s="1"/>
  <c r="AD9" i="8"/>
  <c r="AD11" i="8" s="1"/>
  <c r="AC9" i="8"/>
  <c r="AC11" i="8" s="1"/>
  <c r="AB9" i="8"/>
  <c r="AB11" i="8" s="1"/>
  <c r="AA9" i="8"/>
  <c r="AA11" i="8" s="1"/>
  <c r="Z9" i="8"/>
  <c r="Z11" i="8" s="1"/>
  <c r="Y9" i="8"/>
  <c r="Y11" i="8" s="1"/>
  <c r="X9" i="8"/>
  <c r="X11" i="8" s="1"/>
  <c r="W9" i="8"/>
  <c r="W11" i="8" s="1"/>
  <c r="V9" i="8"/>
  <c r="V11" i="8" s="1"/>
  <c r="T9" i="8"/>
  <c r="T11" i="8" s="1"/>
  <c r="S9" i="8"/>
  <c r="S11" i="8" s="1"/>
  <c r="R9" i="8"/>
  <c r="R11" i="8" s="1"/>
  <c r="Q9" i="8"/>
  <c r="Q11" i="8" s="1"/>
  <c r="P9" i="8"/>
  <c r="P11" i="8" s="1"/>
  <c r="O9" i="8"/>
  <c r="O11" i="8" s="1"/>
  <c r="N9" i="8"/>
  <c r="N11" i="8" s="1"/>
  <c r="M9" i="8"/>
  <c r="M11" i="8" s="1"/>
  <c r="L9" i="8"/>
  <c r="L11" i="8" s="1"/>
  <c r="K9" i="8"/>
  <c r="K11" i="8" s="1"/>
  <c r="J9" i="8"/>
  <c r="J11" i="8" s="1"/>
  <c r="I9" i="8"/>
  <c r="I11" i="8" s="1"/>
  <c r="H9" i="8"/>
  <c r="G9" i="8"/>
  <c r="G11" i="8" s="1"/>
  <c r="F9" i="8"/>
  <c r="F11" i="8" s="1"/>
  <c r="E9" i="8"/>
  <c r="D9" i="8"/>
  <c r="D11" i="8" s="1"/>
  <c r="C9" i="8"/>
  <c r="C11" i="8" s="1"/>
  <c r="B9" i="8"/>
  <c r="AG8" i="8"/>
  <c r="AG7" i="8"/>
  <c r="AG6" i="8"/>
  <c r="AG5" i="8"/>
  <c r="BB24" i="7"/>
  <c r="AL24" i="7"/>
  <c r="I24" i="7"/>
  <c r="F24" i="7"/>
  <c r="BM23" i="7"/>
  <c r="BL23" i="7"/>
  <c r="BK22" i="7"/>
  <c r="BK24" i="7" s="1"/>
  <c r="BJ22" i="7"/>
  <c r="BJ24" i="7" s="1"/>
  <c r="BI22" i="7"/>
  <c r="BI24" i="7" s="1"/>
  <c r="BH22" i="7"/>
  <c r="BH24" i="7" s="1"/>
  <c r="BG22" i="7"/>
  <c r="BG24" i="7" s="1"/>
  <c r="BF22" i="7"/>
  <c r="BF24" i="7" s="1"/>
  <c r="BE22" i="7"/>
  <c r="BE24" i="7" s="1"/>
  <c r="BD22" i="7"/>
  <c r="BD24" i="7" s="1"/>
  <c r="BC22" i="7"/>
  <c r="BC24" i="7" s="1"/>
  <c r="BB22" i="7"/>
  <c r="BA22" i="7"/>
  <c r="BA24" i="7" s="1"/>
  <c r="AZ22" i="7"/>
  <c r="AZ24" i="7" s="1"/>
  <c r="AY22" i="7"/>
  <c r="AY24" i="7" s="1"/>
  <c r="AX22" i="7"/>
  <c r="AX24" i="7" s="1"/>
  <c r="AW22" i="7"/>
  <c r="AW24" i="7" s="1"/>
  <c r="AV22" i="7"/>
  <c r="AV24" i="7" s="1"/>
  <c r="AU22" i="7"/>
  <c r="AU24" i="7" s="1"/>
  <c r="AT22" i="7"/>
  <c r="AT24" i="7" s="1"/>
  <c r="AS22" i="7"/>
  <c r="AS24" i="7" s="1"/>
  <c r="AR22" i="7"/>
  <c r="AR24" i="7" s="1"/>
  <c r="AQ22" i="7"/>
  <c r="AQ24" i="7" s="1"/>
  <c r="AP22" i="7"/>
  <c r="AP24" i="7" s="1"/>
  <c r="AO22" i="7"/>
  <c r="AO24" i="7" s="1"/>
  <c r="AN22" i="7"/>
  <c r="AN24" i="7" s="1"/>
  <c r="AM22" i="7"/>
  <c r="AM24" i="7" s="1"/>
  <c r="AL22" i="7"/>
  <c r="AK22" i="7"/>
  <c r="AK24" i="7" s="1"/>
  <c r="AJ22" i="7"/>
  <c r="AJ24" i="7" s="1"/>
  <c r="AI22" i="7"/>
  <c r="AI24" i="7" s="1"/>
  <c r="AH22" i="7"/>
  <c r="AH24" i="7" s="1"/>
  <c r="AG22" i="7"/>
  <c r="AG24" i="7" s="1"/>
  <c r="AF22" i="7"/>
  <c r="AF24" i="7" s="1"/>
  <c r="AE22" i="7"/>
  <c r="AE24" i="7" s="1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V22" i="7"/>
  <c r="V24" i="7" s="1"/>
  <c r="U22" i="7"/>
  <c r="U24" i="7" s="1"/>
  <c r="T22" i="7"/>
  <c r="T24" i="7" s="1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H22" i="7"/>
  <c r="H24" i="7" s="1"/>
  <c r="G22" i="7"/>
  <c r="G24" i="7" s="1"/>
  <c r="F22" i="7"/>
  <c r="E22" i="7"/>
  <c r="E24" i="7" s="1"/>
  <c r="D22" i="7"/>
  <c r="D24" i="7" s="1"/>
  <c r="C22" i="7"/>
  <c r="B22" i="7"/>
  <c r="BM21" i="7"/>
  <c r="BL21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BM19" i="7"/>
  <c r="BL19" i="7"/>
  <c r="BM18" i="7"/>
  <c r="BL18" i="7"/>
  <c r="BM17" i="7"/>
  <c r="BL17" i="7"/>
  <c r="BM15" i="7"/>
  <c r="BL15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BM13" i="7"/>
  <c r="BL13" i="7"/>
  <c r="BM12" i="7"/>
  <c r="BL12" i="7"/>
  <c r="BM11" i="7"/>
  <c r="BL11" i="7"/>
  <c r="BM10" i="7"/>
  <c r="BL10" i="7"/>
  <c r="BM8" i="7"/>
  <c r="BL8" i="7"/>
  <c r="BM7" i="7"/>
  <c r="BL7" i="7"/>
  <c r="BM6" i="7"/>
  <c r="BL6" i="7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M14" i="1"/>
  <c r="BL14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M12" i="1"/>
  <c r="BL12" i="1"/>
  <c r="BM11" i="1"/>
  <c r="BL11" i="1"/>
  <c r="BM10" i="1"/>
  <c r="BL10" i="1"/>
  <c r="BM9" i="1"/>
  <c r="BL9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M7" i="1"/>
  <c r="BL7" i="1"/>
  <c r="BM6" i="1"/>
  <c r="BL6" i="1"/>
  <c r="BM5" i="1"/>
  <c r="BL5" i="1"/>
  <c r="ES18" i="2" l="1"/>
  <c r="EU18" i="2"/>
  <c r="ER18" i="2"/>
  <c r="EP18" i="2"/>
  <c r="EO18" i="2"/>
  <c r="EN18" i="2"/>
  <c r="EM18" i="2"/>
  <c r="EF18" i="2"/>
  <c r="ED18" i="2"/>
  <c r="EC18" i="2"/>
  <c r="EB18" i="2"/>
  <c r="EA18" i="2"/>
  <c r="DX18" i="2"/>
  <c r="DW18" i="2"/>
  <c r="DV18" i="2"/>
  <c r="DU18" i="2"/>
  <c r="DS18" i="2"/>
  <c r="DR18" i="2"/>
  <c r="DO18" i="2"/>
  <c r="DN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X18" i="2"/>
  <c r="CM18" i="2"/>
  <c r="CK18" i="2"/>
  <c r="CI18" i="2"/>
  <c r="CW18" i="2"/>
  <c r="CT18" i="2"/>
  <c r="CS18" i="2"/>
  <c r="CR18" i="2"/>
  <c r="CQ18" i="2"/>
  <c r="CP18" i="2"/>
  <c r="CO18" i="2"/>
  <c r="CN18" i="2"/>
  <c r="CF18" i="2"/>
  <c r="CE18" i="2"/>
  <c r="CD18" i="2"/>
  <c r="BW18" i="2"/>
  <c r="BV18" i="2"/>
  <c r="BU18" i="2"/>
  <c r="BT18" i="2"/>
  <c r="BS18" i="2"/>
  <c r="BP18" i="2"/>
  <c r="BO18" i="2"/>
  <c r="BL18" i="2"/>
  <c r="BK18" i="2"/>
  <c r="BI18" i="2"/>
  <c r="BH18" i="2"/>
  <c r="BF18" i="2"/>
  <c r="BE18" i="2"/>
  <c r="BC18" i="2"/>
  <c r="BB18" i="2"/>
  <c r="BA18" i="2"/>
  <c r="AR18" i="2"/>
  <c r="AQ18" i="2"/>
  <c r="AY18" i="2"/>
  <c r="AX18" i="2"/>
  <c r="AU18" i="2"/>
  <c r="AC18" i="2"/>
  <c r="AB18" i="2"/>
  <c r="AA18" i="2"/>
  <c r="AO18" i="2"/>
  <c r="AN18" i="2"/>
  <c r="AK18" i="2"/>
  <c r="CM36" i="14"/>
  <c r="CL37" i="14"/>
  <c r="CK37" i="14"/>
  <c r="CM20" i="14"/>
  <c r="CJ36" i="14"/>
  <c r="CI37" i="14"/>
  <c r="CH37" i="14"/>
  <c r="CJ20" i="14"/>
  <c r="CD36" i="14"/>
  <c r="CC37" i="14"/>
  <c r="CD20" i="14"/>
  <c r="CB37" i="14"/>
  <c r="BZ37" i="14"/>
  <c r="CA20" i="14"/>
  <c r="CA37" i="14" s="1"/>
  <c r="BY37" i="14"/>
  <c r="BX36" i="14"/>
  <c r="BW37" i="14"/>
  <c r="BX20" i="14"/>
  <c r="BV37" i="14"/>
  <c r="BT37" i="14"/>
  <c r="BU36" i="14"/>
  <c r="BU20" i="14"/>
  <c r="BS37" i="14"/>
  <c r="BR36" i="14"/>
  <c r="BQ37" i="14"/>
  <c r="BR20" i="14"/>
  <c r="BP37" i="14"/>
  <c r="BO36" i="14"/>
  <c r="BN37" i="14"/>
  <c r="BM37" i="14"/>
  <c r="BO20" i="14"/>
  <c r="BL36" i="14"/>
  <c r="BK37" i="14"/>
  <c r="BL20" i="14"/>
  <c r="BJ37" i="14"/>
  <c r="BG37" i="14"/>
  <c r="BI36" i="14"/>
  <c r="BH37" i="14"/>
  <c r="BF36" i="14"/>
  <c r="BE37" i="14"/>
  <c r="BF20" i="14"/>
  <c r="BD37" i="14"/>
  <c r="BB37" i="14"/>
  <c r="BC36" i="14"/>
  <c r="BA37" i="14"/>
  <c r="BC20" i="14"/>
  <c r="AY37" i="14"/>
  <c r="AZ36" i="14"/>
  <c r="AX37" i="14"/>
  <c r="AZ20" i="14"/>
  <c r="AT36" i="14"/>
  <c r="AT37" i="14" s="1"/>
  <c r="AS37" i="14"/>
  <c r="AT20" i="14"/>
  <c r="AR37" i="14"/>
  <c r="AQ36" i="14"/>
  <c r="AP37" i="14"/>
  <c r="AQ20" i="14"/>
  <c r="AO37" i="14"/>
  <c r="AN36" i="14"/>
  <c r="AM37" i="14"/>
  <c r="AN20" i="14"/>
  <c r="AL37" i="14"/>
  <c r="AJ37" i="14"/>
  <c r="AK36" i="14"/>
  <c r="AK20" i="14"/>
  <c r="AI37" i="14"/>
  <c r="AH36" i="14"/>
  <c r="AG37" i="14"/>
  <c r="AH20" i="14"/>
  <c r="AF37" i="14"/>
  <c r="AD37" i="14"/>
  <c r="AE36" i="14"/>
  <c r="AE20" i="14"/>
  <c r="AC37" i="14"/>
  <c r="AA37" i="14"/>
  <c r="AB36" i="14"/>
  <c r="AB20" i="14"/>
  <c r="Z37" i="14"/>
  <c r="X37" i="14"/>
  <c r="Y36" i="14"/>
  <c r="W37" i="14"/>
  <c r="Y20" i="14"/>
  <c r="S35" i="14"/>
  <c r="S36" i="14" s="1"/>
  <c r="R37" i="14"/>
  <c r="Q36" i="14"/>
  <c r="Q37" i="14" s="1"/>
  <c r="S20" i="14"/>
  <c r="EK18" i="2"/>
  <c r="EJ18" i="2"/>
  <c r="EI18" i="2"/>
  <c r="EH18" i="2"/>
  <c r="CC18" i="2"/>
  <c r="CA18" i="2"/>
  <c r="BZ18" i="2"/>
  <c r="BY18" i="2"/>
  <c r="AW20" i="14"/>
  <c r="AW37" i="14" s="1"/>
  <c r="AV37" i="14"/>
  <c r="AU37" i="14"/>
  <c r="Y27" i="8"/>
  <c r="X27" i="8"/>
  <c r="W27" i="8"/>
  <c r="T27" i="8"/>
  <c r="R27" i="8"/>
  <c r="P27" i="8"/>
  <c r="O27" i="8"/>
  <c r="N27" i="8"/>
  <c r="M27" i="8"/>
  <c r="L27" i="8"/>
  <c r="K27" i="8"/>
  <c r="J27" i="8"/>
  <c r="H27" i="8"/>
  <c r="G27" i="8"/>
  <c r="EZ18" i="2"/>
  <c r="EY18" i="2"/>
  <c r="EX18" i="2"/>
  <c r="EW18" i="2"/>
  <c r="EV18" i="2"/>
  <c r="CP36" i="14"/>
  <c r="CO37" i="14"/>
  <c r="CP20" i="14"/>
  <c r="CN37" i="14"/>
  <c r="BL107" i="11"/>
  <c r="BM106" i="11"/>
  <c r="BL106" i="11"/>
  <c r="BL105" i="10"/>
  <c r="BM107" i="10"/>
  <c r="BM111" i="10"/>
  <c r="BM110" i="10"/>
  <c r="BL109" i="10"/>
  <c r="BL109" i="9"/>
  <c r="AJ18" i="2"/>
  <c r="V20" i="14"/>
  <c r="V37" i="14" s="1"/>
  <c r="U37" i="14"/>
  <c r="T37" i="14"/>
  <c r="BL15" i="12"/>
  <c r="BL110" i="11"/>
  <c r="BM110" i="11"/>
  <c r="BM109" i="11"/>
  <c r="BM108" i="11"/>
  <c r="BM105" i="11"/>
  <c r="BL109" i="11"/>
  <c r="BL108" i="11"/>
  <c r="BL111" i="11"/>
  <c r="BL105" i="11"/>
  <c r="BM108" i="9"/>
  <c r="BM107" i="9"/>
  <c r="BM111" i="9"/>
  <c r="BM110" i="9"/>
  <c r="BL110" i="9"/>
  <c r="BL105" i="9"/>
  <c r="AG23" i="8"/>
  <c r="I27" i="8"/>
  <c r="AG16" i="8"/>
  <c r="BM22" i="7"/>
  <c r="BL22" i="7"/>
  <c r="BL15" i="1"/>
  <c r="BM13" i="1"/>
  <c r="BL13" i="1"/>
  <c r="BM15" i="1"/>
  <c r="BM8" i="1"/>
  <c r="BL8" i="1"/>
  <c r="Y18" i="2"/>
  <c r="Z18" i="2"/>
  <c r="X18" i="2"/>
  <c r="O37" i="14"/>
  <c r="P36" i="14"/>
  <c r="P20" i="14"/>
  <c r="N37" i="14"/>
  <c r="BM15" i="12"/>
  <c r="BM111" i="11"/>
  <c r="BM107" i="11"/>
  <c r="BM105" i="10"/>
  <c r="BM106" i="10"/>
  <c r="BM109" i="10"/>
  <c r="BM108" i="10"/>
  <c r="BL106" i="10"/>
  <c r="BL110" i="10"/>
  <c r="BL107" i="10"/>
  <c r="BL108" i="10"/>
  <c r="BL111" i="10"/>
  <c r="BM106" i="9"/>
  <c r="BM109" i="9"/>
  <c r="BM105" i="9"/>
  <c r="BL106" i="9"/>
  <c r="BL107" i="9"/>
  <c r="BL111" i="9"/>
  <c r="BL108" i="9"/>
  <c r="BM20" i="7"/>
  <c r="BL20" i="7"/>
  <c r="BL14" i="7"/>
  <c r="BM14" i="7"/>
  <c r="D37" i="14"/>
  <c r="J37" i="14"/>
  <c r="M37" i="14"/>
  <c r="BI37" i="14"/>
  <c r="CG37" i="14"/>
  <c r="F37" i="14"/>
  <c r="G20" i="14"/>
  <c r="G37" i="14" s="1"/>
  <c r="G18" i="14"/>
  <c r="AG11" i="8"/>
  <c r="AG9" i="8"/>
  <c r="AG26" i="8"/>
  <c r="B24" i="7"/>
  <c r="BL24" i="7" s="1"/>
  <c r="C24" i="7"/>
  <c r="BM24" i="7" s="1"/>
  <c r="CM37" i="14" l="1"/>
  <c r="CJ37" i="14"/>
  <c r="CD37" i="14"/>
  <c r="BX37" i="14"/>
  <c r="BU37" i="14"/>
  <c r="BR37" i="14"/>
  <c r="BO37" i="14"/>
  <c r="BL37" i="14"/>
  <c r="BF37" i="14"/>
  <c r="BC37" i="14"/>
  <c r="AZ37" i="14"/>
  <c r="AQ37" i="14"/>
  <c r="AN37" i="14"/>
  <c r="AK37" i="14"/>
  <c r="AH37" i="14"/>
  <c r="AE37" i="14"/>
  <c r="AB37" i="14"/>
  <c r="Y37" i="14"/>
  <c r="S37" i="14"/>
  <c r="AG27" i="8"/>
  <c r="CP37" i="14"/>
  <c r="P37" i="14"/>
  <c r="AO11" i="6"/>
  <c r="AN11" i="6"/>
  <c r="AM11" i="6"/>
  <c r="AL11" i="6"/>
  <c r="H8" i="19"/>
  <c r="H9" i="19" s="1"/>
  <c r="DU11" i="6"/>
  <c r="DT11" i="6"/>
  <c r="DS11" i="6"/>
  <c r="DR11" i="6"/>
  <c r="AF15" i="18"/>
  <c r="DQ11" i="6"/>
  <c r="DP11" i="6"/>
  <c r="DO11" i="6"/>
  <c r="DN11" i="6"/>
  <c r="AE8" i="19"/>
  <c r="AE15" i="18"/>
  <c r="AE9" i="13"/>
  <c r="DM11" i="6"/>
  <c r="DL11" i="6"/>
  <c r="DK11" i="6"/>
  <c r="DJ11" i="6"/>
  <c r="AD8" i="19"/>
  <c r="AD9" i="19"/>
  <c r="AD15" i="18"/>
  <c r="AC15" i="18"/>
  <c r="AB15" i="18"/>
  <c r="DA11" i="6"/>
  <c r="CZ11" i="6"/>
  <c r="CY11" i="6"/>
  <c r="CX11" i="6"/>
  <c r="AA8" i="19"/>
  <c r="AA9" i="19" s="1"/>
  <c r="Z15" i="18"/>
  <c r="Z9" i="17"/>
  <c r="CS11" i="6"/>
  <c r="CR11" i="6"/>
  <c r="CQ11" i="6"/>
  <c r="CP11" i="6"/>
  <c r="Y8" i="19"/>
  <c r="Y9" i="19" s="1"/>
  <c r="Y15" i="18"/>
  <c r="CO11" i="6"/>
  <c r="CN11" i="6"/>
  <c r="CM11" i="6"/>
  <c r="CL11" i="6"/>
  <c r="X15" i="18"/>
  <c r="X11" i="16"/>
  <c r="CK11" i="6"/>
  <c r="CJ11" i="6"/>
  <c r="CI11" i="6"/>
  <c r="CH11" i="6"/>
  <c r="W7" i="19"/>
  <c r="W15" i="18"/>
  <c r="CG11" i="6"/>
  <c r="CF11" i="6"/>
  <c r="CE11" i="6"/>
  <c r="CD11" i="6"/>
  <c r="CC11" i="6"/>
  <c r="CB11" i="6"/>
  <c r="CA11" i="6"/>
  <c r="BZ11" i="6"/>
  <c r="S15" i="18"/>
  <c r="BU11" i="6"/>
  <c r="BT11" i="6"/>
  <c r="BS11" i="6"/>
  <c r="BR11" i="6"/>
  <c r="U15" i="18"/>
  <c r="U11" i="16"/>
  <c r="U6" i="13"/>
  <c r="BQ11" i="6"/>
  <c r="BP11" i="6"/>
  <c r="BN11" i="6"/>
  <c r="BO11" i="6"/>
  <c r="R8" i="19"/>
  <c r="R9" i="19" s="1"/>
  <c r="R15" i="18"/>
  <c r="BM11" i="6"/>
  <c r="BL11" i="6"/>
  <c r="BK11" i="6"/>
  <c r="BJ11" i="6"/>
  <c r="Q15" i="18"/>
  <c r="P8" i="19"/>
  <c r="P9" i="19" s="1"/>
  <c r="N15" i="18"/>
  <c r="AW11" i="6"/>
  <c r="AV11" i="6"/>
  <c r="AU11" i="6"/>
  <c r="AT11" i="6"/>
  <c r="M7" i="19"/>
  <c r="M9" i="19" s="1"/>
  <c r="M15" i="18"/>
  <c r="AS11" i="6"/>
  <c r="AR11" i="6"/>
  <c r="AQ11" i="6"/>
  <c r="AP11" i="6"/>
  <c r="L15" i="18"/>
  <c r="H9" i="13"/>
  <c r="K15" i="18"/>
  <c r="J7" i="19"/>
  <c r="J9" i="19" s="1"/>
  <c r="AF9" i="19"/>
  <c r="AE9" i="19"/>
  <c r="AC9" i="19"/>
  <c r="AB9" i="19"/>
  <c r="Z9" i="19"/>
  <c r="X9" i="19"/>
  <c r="W9" i="19"/>
  <c r="V9" i="19"/>
  <c r="U9" i="19"/>
  <c r="T9" i="19"/>
  <c r="Q9" i="19"/>
  <c r="O9" i="19"/>
  <c r="N9" i="19"/>
  <c r="L9" i="19"/>
  <c r="K9" i="19"/>
  <c r="I9" i="19"/>
  <c r="G9" i="19"/>
  <c r="F9" i="19"/>
  <c r="E9" i="19"/>
  <c r="D9" i="19"/>
  <c r="B9" i="19"/>
  <c r="I7" i="19"/>
  <c r="U11" i="6"/>
  <c r="T11" i="6"/>
  <c r="S11" i="6"/>
  <c r="R11" i="6"/>
  <c r="E8" i="19"/>
  <c r="C8" i="19"/>
  <c r="C9" i="19" s="1"/>
  <c r="F15" i="18" l="1"/>
  <c r="F16" i="18" s="1"/>
  <c r="F6" i="13"/>
  <c r="BK10" i="21"/>
  <c r="BJ10" i="21"/>
  <c r="BI10" i="21"/>
  <c r="BH10" i="21"/>
  <c r="BG10" i="21"/>
  <c r="BF10" i="21"/>
  <c r="BE10" i="21"/>
  <c r="BD10" i="21"/>
  <c r="BC10" i="21"/>
  <c r="BB10" i="21"/>
  <c r="BA10" i="21"/>
  <c r="AZ10" i="21"/>
  <c r="AY10" i="21"/>
  <c r="AX10" i="21"/>
  <c r="AW10" i="21"/>
  <c r="AV10" i="21"/>
  <c r="AU10" i="21"/>
  <c r="AT10" i="21"/>
  <c r="AS10" i="21"/>
  <c r="AR10" i="21"/>
  <c r="AQ10" i="21"/>
  <c r="AP10" i="21"/>
  <c r="AO10" i="21"/>
  <c r="AN10" i="21"/>
  <c r="AM10" i="21"/>
  <c r="AL10" i="21"/>
  <c r="AK10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Q11" i="6"/>
  <c r="P11" i="6"/>
  <c r="O11" i="6"/>
  <c r="N11" i="6"/>
  <c r="I11" i="6"/>
  <c r="H11" i="6"/>
  <c r="G11" i="6"/>
  <c r="F11" i="6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E16" i="18"/>
  <c r="D16" i="18"/>
  <c r="C16" i="18"/>
  <c r="B16" i="18"/>
  <c r="G15" i="18"/>
  <c r="C15" i="18"/>
  <c r="AB9" i="13" l="1"/>
  <c r="AA9" i="13"/>
  <c r="Z9" i="13"/>
  <c r="Y9" i="13"/>
  <c r="X9" i="13"/>
  <c r="W9" i="13"/>
  <c r="V9" i="13"/>
  <c r="U9" i="13"/>
  <c r="T9" i="13"/>
  <c r="R9" i="13"/>
  <c r="Q9" i="13"/>
  <c r="P9" i="13"/>
  <c r="O9" i="13"/>
  <c r="N9" i="13"/>
  <c r="M9" i="13"/>
  <c r="K9" i="13"/>
  <c r="J9" i="13"/>
  <c r="I9" i="13"/>
  <c r="G9" i="13"/>
  <c r="F9" i="13"/>
  <c r="E9" i="13"/>
  <c r="D9" i="13"/>
  <c r="C9" i="13"/>
  <c r="B9" i="13"/>
  <c r="S9" i="13"/>
  <c r="L9" i="13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5" i="16"/>
  <c r="AA15" i="16"/>
  <c r="Z15" i="16"/>
  <c r="Y15" i="16"/>
  <c r="X15" i="16"/>
  <c r="W15" i="16"/>
  <c r="V15" i="16"/>
  <c r="U15" i="16"/>
  <c r="T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S15" i="16"/>
  <c r="AB15" i="17"/>
  <c r="AA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Z15" i="17"/>
  <c r="DE15" i="6"/>
  <c r="DD15" i="6"/>
  <c r="DC15" i="6"/>
  <c r="DB15" i="6"/>
  <c r="DE12" i="6"/>
  <c r="DD12" i="6"/>
  <c r="DC12" i="6"/>
  <c r="DB12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CK12" i="6"/>
  <c r="CJ12" i="6"/>
  <c r="CI12" i="6"/>
  <c r="CH12" i="6"/>
  <c r="AW12" i="6"/>
  <c r="AV12" i="6"/>
  <c r="AU12" i="6"/>
  <c r="AT12" i="6"/>
  <c r="AG16" i="17" l="1"/>
  <c r="DA12" i="6" l="1"/>
  <c r="AD54" i="15" l="1"/>
  <c r="DU15" i="6" l="1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A15" i="6"/>
  <c r="CZ15" i="6"/>
  <c r="CY15" i="6"/>
  <c r="CX15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CZ12" i="6"/>
  <c r="CY12" i="6"/>
  <c r="CX12" i="6"/>
  <c r="AG4" i="16" l="1"/>
  <c r="AG5" i="16"/>
  <c r="AG6" i="16"/>
  <c r="AG7" i="16"/>
  <c r="AG8" i="16"/>
  <c r="AG9" i="16"/>
  <c r="AG10" i="16"/>
  <c r="AG12" i="16"/>
  <c r="AG13" i="16"/>
  <c r="AG14" i="16"/>
  <c r="AC15" i="16"/>
  <c r="AD15" i="16"/>
  <c r="AE15" i="16"/>
  <c r="AF15" i="16"/>
  <c r="AG16" i="16"/>
  <c r="AG17" i="16"/>
  <c r="AG18" i="16"/>
  <c r="AC19" i="16"/>
  <c r="AD19" i="16"/>
  <c r="AE19" i="16"/>
  <c r="AF19" i="16"/>
  <c r="AG19" i="16" l="1"/>
  <c r="AG11" i="16"/>
  <c r="AG15" i="16"/>
  <c r="AG15" i="18" l="1"/>
  <c r="AG14" i="18"/>
  <c r="AG13" i="18"/>
  <c r="AG12" i="18"/>
  <c r="AG11" i="18"/>
  <c r="AG10" i="18"/>
  <c r="AG7" i="18"/>
  <c r="AG6" i="18"/>
  <c r="AG5" i="18"/>
  <c r="AG4" i="18"/>
  <c r="AG14" i="17"/>
  <c r="AG13" i="17"/>
  <c r="AG12" i="17"/>
  <c r="AG11" i="17"/>
  <c r="AG10" i="17"/>
  <c r="AG9" i="17"/>
  <c r="AG8" i="17"/>
  <c r="AG7" i="17"/>
  <c r="AG6" i="17"/>
  <c r="AG5" i="17"/>
  <c r="AG4" i="17"/>
  <c r="AF15" i="17"/>
  <c r="AE15" i="17"/>
  <c r="AD15" i="17"/>
  <c r="AC15" i="17"/>
  <c r="AG31" i="15"/>
  <c r="AG30" i="15"/>
  <c r="AG27" i="15"/>
  <c r="AG26" i="15"/>
  <c r="AG25" i="15"/>
  <c r="AG24" i="15"/>
  <c r="AG23" i="15"/>
  <c r="AG22" i="15"/>
  <c r="AG21" i="15"/>
  <c r="AG18" i="15"/>
  <c r="AG17" i="15"/>
  <c r="AG16" i="15"/>
  <c r="AG15" i="15"/>
  <c r="AG14" i="15"/>
  <c r="AG11" i="15"/>
  <c r="AG10" i="15"/>
  <c r="AG9" i="15"/>
  <c r="AG8" i="15"/>
  <c r="AG7" i="15"/>
  <c r="AG6" i="15"/>
  <c r="AG5" i="15"/>
  <c r="AF32" i="15"/>
  <c r="AE32" i="15"/>
  <c r="AD32" i="15"/>
  <c r="AC32" i="15"/>
  <c r="AF28" i="15"/>
  <c r="AE28" i="15"/>
  <c r="AD28" i="15"/>
  <c r="AC28" i="15"/>
  <c r="AF19" i="15"/>
  <c r="AE19" i="15"/>
  <c r="AD19" i="15"/>
  <c r="AC19" i="15"/>
  <c r="AF12" i="15"/>
  <c r="AE12" i="15"/>
  <c r="AD12" i="15"/>
  <c r="AC12" i="15"/>
  <c r="AG10" i="13"/>
  <c r="AG8" i="13"/>
  <c r="AG7" i="13"/>
  <c r="AG6" i="13"/>
  <c r="AG5" i="13"/>
  <c r="AG4" i="13"/>
  <c r="AF9" i="13"/>
  <c r="AD9" i="13"/>
  <c r="AG32" i="15" l="1"/>
  <c r="AG19" i="15"/>
  <c r="AG28" i="15"/>
  <c r="AG12" i="15"/>
  <c r="AG15" i="17"/>
  <c r="AG11" i="13" l="1"/>
  <c r="AG9" i="13"/>
  <c r="AG17" i="18"/>
  <c r="AG16" i="18"/>
</calcChain>
</file>

<file path=xl/sharedStrings.xml><?xml version="1.0" encoding="utf-8"?>
<sst xmlns="http://schemas.openxmlformats.org/spreadsheetml/2006/main" count="5106" uniqueCount="327">
  <si>
    <t>Particulars</t>
  </si>
  <si>
    <t>Acko</t>
  </si>
  <si>
    <t>AICL</t>
  </si>
  <si>
    <t>Bajaj Allianz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</si>
  <si>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</si>
  <si>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</si>
  <si>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</si>
  <si>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</si>
  <si>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</si>
  <si>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</si>
  <si>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</si>
  <si>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</si>
  <si>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</si>
  <si>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</si>
  <si>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</si>
  <si>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</si>
  <si>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</si>
  <si>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</si>
  <si>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</si>
  <si>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</si>
  <si>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</si>
  <si>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</si>
  <si>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</si>
  <si>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</si>
  <si>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</si>
  <si>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</si>
  <si>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</si>
  <si>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</si>
  <si>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</si>
  <si>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</si>
  <si>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</si>
  <si>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</si>
  <si>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</si>
  <si>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</si>
  <si>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</si>
  <si>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</si>
  <si>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</si>
  <si>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</si>
  <si>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</si>
  <si>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</si>
  <si>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</si>
  <si>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</si>
  <si>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</si>
  <si>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</si>
  <si>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</si>
  <si>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</si>
  <si>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</si>
  <si>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</si>
  <si>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</si>
  <si>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</si>
  <si>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</si>
  <si>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</si>
  <si>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</si>
  <si>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</si>
  <si>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</si>
  <si>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</si>
  <si>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</si>
  <si>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</si>
  <si>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</si>
  <si>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</si>
  <si>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</si>
  <si>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</si>
  <si>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</si>
  <si>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</si>
  <si>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</si>
  <si>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</si>
  <si>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</si>
  <si>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</si>
  <si>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</si>
  <si>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</si>
  <si>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</si>
  <si>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</si>
  <si>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</si>
  <si>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</si>
  <si>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</si>
  <si>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</si>
  <si>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</si>
  <si>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</si>
  <si>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</si>
  <si>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</si>
  <si>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</si>
  <si>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</si>
  <si>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</si>
  <si>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</si>
  <si>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</si>
  <si>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</si>
  <si>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</si>
  <si>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</si>
  <si>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</si>
  <si>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</si>
  <si>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</si>
  <si>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</si>
  <si>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</si>
  <si>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</si>
  <si>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</si>
  <si>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</si>
  <si>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</si>
  <si>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</si>
  <si>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</si>
  <si>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</si>
  <si>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</si>
  <si>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</si>
  <si>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</si>
  <si>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</si>
  <si>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</si>
  <si>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</si>
  <si>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</si>
  <si>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</si>
  <si>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</si>
  <si>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</si>
  <si>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</si>
  <si>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</si>
  <si>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</si>
  <si>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</si>
  <si>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</si>
  <si>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</si>
  <si>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</si>
  <si>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</si>
  <si>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</si>
  <si>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</si>
  <si>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</si>
  <si>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</si>
  <si>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</si>
  <si>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Gross Premium Growth Rate</t>
  </si>
  <si>
    <t>Gross Direct Premium to Net Worth Ratio</t>
  </si>
  <si>
    <t>Growth Rate of Net Worth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</si>
  <si>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</si>
  <si>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</si>
  <si>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</si>
  <si>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</si>
  <si>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</si>
  <si>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</si>
  <si>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</si>
  <si>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</si>
  <si>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</si>
  <si>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</si>
  <si>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</si>
  <si>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</si>
  <si>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</si>
  <si>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Total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</si>
  <si>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</si>
  <si>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</si>
  <si>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</si>
  <si>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</si>
  <si>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</si>
  <si>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</si>
  <si>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</si>
  <si>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</si>
  <si>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</si>
  <si>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</si>
  <si>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</si>
  <si>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</si>
  <si>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</si>
  <si>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</si>
  <si>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</si>
  <si>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</si>
  <si>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</si>
  <si>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</si>
  <si>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</si>
  <si>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</si>
  <si>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</si>
  <si>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</si>
  <si>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(f) Subsidiaries</t>
  </si>
  <si>
    <t>(g) Investment properties - Real Estate</t>
  </si>
  <si>
    <t>Other than Approved Investments</t>
  </si>
  <si>
    <t>TOTAL LONG TERM INVESTMENTS</t>
  </si>
  <si>
    <t>SHORT TERM INVESTMENTS</t>
  </si>
  <si>
    <t>TOTAL SHORT TERM INVESTMENTS</t>
  </si>
  <si>
    <t>(e) Other securities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</si>
  <si>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</si>
  <si>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</si>
  <si>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</si>
  <si>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</si>
  <si>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</si>
  <si>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</si>
  <si>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</si>
  <si>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</si>
  <si>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</si>
  <si>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</si>
  <si>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</si>
  <si>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</si>
  <si>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</si>
  <si>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</si>
  <si>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</si>
  <si>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</si>
  <si>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</si>
  <si>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</si>
  <si>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</si>
  <si>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</si>
  <si>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</si>
  <si>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Net Commission</t>
  </si>
  <si>
    <t xml:space="preserve">NL-5 Claims </t>
  </si>
  <si>
    <t>Net Earned Premium</t>
  </si>
  <si>
    <t xml:space="preserve">NL-4 Premium </t>
  </si>
  <si>
    <t>SOURCES OF FUNDS</t>
  </si>
  <si>
    <t>Share Capital</t>
  </si>
  <si>
    <t>Reserves and Surplus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</si>
  <si>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</si>
  <si>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</si>
  <si>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</si>
  <si>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</si>
  <si>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</si>
  <si>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</si>
  <si>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</si>
  <si>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</si>
  <si>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</si>
  <si>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</si>
  <si>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</si>
  <si>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</si>
  <si>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</si>
  <si>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</si>
  <si>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</si>
  <si>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</si>
  <si>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</si>
  <si>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</si>
  <si>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</si>
  <si>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</si>
  <si>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</si>
  <si>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</si>
  <si>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</si>
  <si>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</si>
  <si>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</si>
  <si>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</si>
  <si>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</si>
  <si>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</si>
  <si>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</si>
  <si>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</si>
  <si>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</si>
  <si>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</si>
  <si>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</si>
  <si>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</si>
  <si>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 xml:space="preserve">NL-2 Profit and Loss Account </t>
  </si>
  <si>
    <t>Aditya Birla Health</t>
  </si>
  <si>
    <t>Cholamandalam MS</t>
  </si>
  <si>
    <t>Manipal Cigna Health</t>
  </si>
  <si>
    <t>Navi</t>
  </si>
  <si>
    <t>Raheja QBE</t>
  </si>
  <si>
    <t>The New India Assurance</t>
  </si>
  <si>
    <t>The Oriental</t>
  </si>
  <si>
    <t>Reliance</t>
  </si>
  <si>
    <t>Kotak</t>
  </si>
  <si>
    <t>Care Health</t>
  </si>
  <si>
    <t>For Q2 2021-22</t>
  </si>
  <si>
    <t>Upto 6 months 2021-22</t>
  </si>
  <si>
    <t>CROP</t>
  </si>
  <si>
    <t>Niva Bupa Health</t>
  </si>
  <si>
    <t>Digit</t>
  </si>
  <si>
    <t>NL-20 Analytical Ratios</t>
  </si>
  <si>
    <t xml:space="preserve">NL-36 Business Acquisition Through Different Channels </t>
  </si>
  <si>
    <t>NL-44 Motor TP Obligations (Quarterly Returns)</t>
  </si>
  <si>
    <t>Premium in respect of liability only policies (L)</t>
  </si>
  <si>
    <t>Premium in respect of package policies (P)</t>
  </si>
  <si>
    <t>Business Premium (L+P)</t>
  </si>
  <si>
    <t>Total Gross Direct Motor Own damage Insurance Business Premium</t>
  </si>
  <si>
    <t>Total Gross Direct Premium Income</t>
  </si>
  <si>
    <t>Outside India</t>
  </si>
  <si>
    <t>Total A</t>
  </si>
  <si>
    <t>Within India</t>
  </si>
  <si>
    <t>Indian Insurance Companies</t>
  </si>
  <si>
    <t>FRBs</t>
  </si>
  <si>
    <t>GIC Re</t>
  </si>
  <si>
    <t>Total B</t>
  </si>
  <si>
    <t>Grand Total A+B</t>
  </si>
  <si>
    <r>
      <t xml:space="preserve">NL-33 Reinsurance/Retrocession Risk Concentration
</t>
    </r>
    <r>
      <rPr>
        <sz val="12"/>
        <rFont val="Calibri"/>
        <family val="2"/>
        <scheme val="minor"/>
      </rPr>
      <t xml:space="preserve">Rs. In Lakhs </t>
    </r>
  </si>
  <si>
    <t>Claims paid to claims provisions</t>
  </si>
  <si>
    <t>Investment income ratio</t>
  </si>
  <si>
    <t>Reserve for Unexpired Risk</t>
  </si>
  <si>
    <t>Reserve for Premium Deficiency</t>
  </si>
  <si>
    <t>For Employee Benefits</t>
  </si>
  <si>
    <t>Debentures/ Bonds</t>
  </si>
  <si>
    <t>Banks</t>
  </si>
  <si>
    <t>Financial Institutions</t>
  </si>
  <si>
    <t xml:space="preserve">Gross Direct Premium </t>
  </si>
  <si>
    <t>Add : Premium on reinsurance accepted</t>
  </si>
  <si>
    <t>Less : Premium on reinsurance ceded</t>
  </si>
  <si>
    <t>Net Written Premium</t>
  </si>
  <si>
    <t>Add : Opening balance of UPR</t>
  </si>
  <si>
    <t>Less : Closing balance of UPR</t>
  </si>
  <si>
    <t>Claims Paid (Direct)</t>
  </si>
  <si>
    <t>Add : Re-insurance accepted to direct claims</t>
  </si>
  <si>
    <t>Less : Re-insurance ceded to claims paid</t>
  </si>
  <si>
    <t>Net Claims Paid</t>
  </si>
  <si>
    <t>Add : Claims Outstanding at the end of the year</t>
  </si>
  <si>
    <t>Less : Claims Outstanding at the beginning of the year</t>
  </si>
  <si>
    <t>Net Incurred Claims</t>
  </si>
  <si>
    <t xml:space="preserve">Commission &amp; Remuneration </t>
  </si>
  <si>
    <t>Rewards</t>
  </si>
  <si>
    <t>Distribution fees</t>
  </si>
  <si>
    <t>Gross Commission</t>
  </si>
  <si>
    <t>Add : Commission on Re-insurance accepted</t>
  </si>
  <si>
    <t>Less : Commission on Re-insurance ceded</t>
  </si>
  <si>
    <t>Investments in Infrastructure and Housing</t>
  </si>
  <si>
    <t>(c) Derivative Instruments</t>
  </si>
  <si>
    <t>(d) Debentures/ Bonds</t>
  </si>
  <si>
    <t>(g) Investment properties - Real Estate</t>
  </si>
  <si>
    <t>Fair Value Change- Shareholder's Funds</t>
  </si>
  <si>
    <t>Fair Value Change- Policyholder's Funds</t>
  </si>
  <si>
    <t>Total Fair Value Change Account</t>
  </si>
  <si>
    <t>For Q2 2022-23</t>
  </si>
  <si>
    <t>Upto 6 months 2022-23</t>
  </si>
  <si>
    <t>Niva Bupa</t>
  </si>
  <si>
    <t>NL-26 Solvency Margin KGII for the period ended 30 September 2022</t>
  </si>
  <si>
    <t>NL-18 Provisions Schedule as at 30 September 2022</t>
  </si>
  <si>
    <t>NL-17 Current Liabilities as at 30 September 2022</t>
  </si>
  <si>
    <t>NL-15 Cash and Bank Balance as at 30 September 2022</t>
  </si>
  <si>
    <t>NL-14 Fixed Assets. Net Block as at 30 September 2022</t>
  </si>
  <si>
    <t>NL-13 Loans as at 30 September 2022</t>
  </si>
  <si>
    <t>NL-12 Investments as at 30 September 2022</t>
  </si>
  <si>
    <t>NL-11 Borrowings Schedule as at 30 September 2022</t>
  </si>
  <si>
    <t>NL-10 Reserves and Surplus as at 30 September 2022</t>
  </si>
  <si>
    <t>NL-3 Balance Sheet as at 30 September 2022</t>
  </si>
  <si>
    <t>(a) For Long term policies</t>
  </si>
  <si>
    <t>(b) for Other Policies</t>
  </si>
  <si>
    <t>For taxation (less advance tax paid and taxes deducted at source)</t>
  </si>
  <si>
    <t>Gross Direct Motor Third Party Insurance Business</t>
  </si>
  <si>
    <t>Total Gross Direct Motor Third Party Insurance</t>
  </si>
  <si>
    <t>LIABILITY</t>
  </si>
  <si>
    <t>PUBLIC/PRODUCT LIABILITY</t>
  </si>
  <si>
    <t>9 2.43</t>
  </si>
  <si>
    <t>1.43 times</t>
  </si>
  <si>
    <t>2.11 times</t>
  </si>
  <si>
    <t>(0.06) times</t>
  </si>
  <si>
    <t>0.26 times</t>
  </si>
  <si>
    <t>1.77 times</t>
  </si>
  <si>
    <t>2.60 times</t>
  </si>
  <si>
    <t>1.17 times</t>
  </si>
  <si>
    <t>(0.05)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</si>
</sst>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.0"/>
    <numFmt numFmtId="166" formatCode="0_ ;\-0\ "/>
    <numFmt numFmtId="167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</cellStyleXfs>
  <cellXfs count="118">
    <xf numFmtId="0" fontId="0" fillId="0" borderId="0" xfId="0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wrapText="1"/>
    </xf>
    <xf numFmtId="1" fontId="7" fillId="0" borderId="0" xfId="0" applyNumberFormat="1" applyFont="1"/>
    <xf numFmtId="1" fontId="7" fillId="0" borderId="0" xfId="0" applyNumberFormat="1" applyFont="1" applyAlignment="1">
      <alignment wrapText="1"/>
    </xf>
    <xf numFmtId="1" fontId="2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0" fontId="0" fillId="0" borderId="0" xfId="1" applyNumberFormat="1" applyFont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6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0" xfId="0" applyNumberFormat="1" applyAlignment="1">
      <alignment vertical="center"/>
    </xf>
    <xf numFmtId="1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2" fontId="1" fillId="0" borderId="0" xfId="0" applyNumberFormat="1" applyFont="1"/>
    <xf numFmtId="2" fontId="0" fillId="0" borderId="2" xfId="0" applyNumberFormat="1" applyBorder="1"/>
    <xf numFmtId="1" fontId="1" fillId="2" borderId="0" xfId="0" applyNumberFormat="1" applyFont="1" applyFill="1"/>
    <xf numFmtId="1" fontId="0" fillId="0" borderId="3" xfId="0" applyNumberFormat="1" applyBorder="1"/>
    <xf numFmtId="1" fontId="2" fillId="0" borderId="3" xfId="0" applyNumberFormat="1" applyFont="1" applyBorder="1"/>
    <xf numFmtId="1" fontId="1" fillId="0" borderId="3" xfId="0" applyNumberFormat="1" applyFont="1" applyBorder="1"/>
    <xf numFmtId="0" fontId="0" fillId="0" borderId="3" xfId="0" applyBorder="1"/>
    <xf numFmtId="1" fontId="0" fillId="0" borderId="5" xfId="0" applyNumberFormat="1" applyBorder="1"/>
    <xf numFmtId="1" fontId="0" fillId="0" borderId="3" xfId="0" applyNumberFormat="1" applyBorder="1" applyAlignment="1">
      <alignment vertical="center"/>
    </xf>
    <xf numFmtId="1" fontId="1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wrapText="1"/>
    </xf>
    <xf numFmtId="1" fontId="0" fillId="2" borderId="3" xfId="0" applyNumberFormat="1" applyFill="1" applyBorder="1"/>
    <xf numFmtId="1" fontId="1" fillId="0" borderId="3" xfId="0" applyNumberFormat="1" applyFont="1" applyBorder="1" applyAlignment="1">
      <alignment wrapText="1"/>
    </xf>
    <xf numFmtId="1" fontId="1" fillId="2" borderId="3" xfId="0" applyNumberFormat="1" applyFont="1" applyFill="1" applyBorder="1"/>
    <xf numFmtId="1" fontId="2" fillId="2" borderId="3" xfId="0" applyNumberFormat="1" applyFont="1" applyFill="1" applyBorder="1"/>
    <xf numFmtId="2" fontId="0" fillId="0" borderId="3" xfId="0" applyNumberFormat="1" applyBorder="1"/>
    <xf numFmtId="1" fontId="1" fillId="0" borderId="3" xfId="0" applyNumberFormat="1" applyFont="1" applyBorder="1" applyAlignment="1">
      <alignment horizontal="left" wrapText="1"/>
    </xf>
    <xf numFmtId="1" fontId="1" fillId="2" borderId="3" xfId="0" applyNumberFormat="1" applyFont="1" applyFill="1" applyBorder="1" applyAlignment="1">
      <alignment horizontal="center"/>
    </xf>
    <xf numFmtId="1" fontId="6" fillId="2" borderId="3" xfId="0" applyNumberFormat="1" applyFont="1" applyFill="1" applyBorder="1"/>
    <xf numFmtId="1" fontId="2" fillId="0" borderId="3" xfId="0" applyNumberFormat="1" applyFont="1" applyBorder="1" applyAlignment="1">
      <alignment wrapText="1"/>
    </xf>
    <xf numFmtId="1" fontId="8" fillId="2" borderId="3" xfId="0" applyNumberFormat="1" applyFont="1" applyFill="1" applyBorder="1"/>
    <xf numFmtId="1" fontId="6" fillId="0" borderId="3" xfId="0" applyNumberFormat="1" applyFont="1" applyBorder="1"/>
    <xf numFmtId="1" fontId="6" fillId="0" borderId="3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10" fontId="0" fillId="0" borderId="3" xfId="0" applyNumberFormat="1" applyBorder="1"/>
    <xf numFmtId="9" fontId="0" fillId="0" borderId="3" xfId="1" applyFont="1" applyBorder="1"/>
    <xf numFmtId="10" fontId="0" fillId="0" borderId="3" xfId="1" applyNumberFormat="1" applyFont="1" applyBorder="1"/>
    <xf numFmtId="9" fontId="0" fillId="0" borderId="3" xfId="0" applyNumberFormat="1" applyBorder="1"/>
    <xf numFmtId="9" fontId="0" fillId="0" borderId="3" xfId="0" applyNumberFormat="1" applyBorder="1" applyAlignment="1">
      <alignment horizontal="right"/>
    </xf>
    <xf numFmtId="2" fontId="0" fillId="0" borderId="3" xfId="1" applyNumberFormat="1" applyFont="1" applyBorder="1"/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0" fontId="0" fillId="0" borderId="3" xfId="0" applyNumberFormat="1" applyBorder="1" applyAlignment="1">
      <alignment horizontal="right"/>
    </xf>
    <xf numFmtId="2" fontId="1" fillId="0" borderId="3" xfId="0" applyNumberFormat="1" applyFont="1" applyBorder="1" applyAlignment="1">
      <alignment horizontal="left" wrapText="1"/>
    </xf>
    <xf numFmtId="2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1" fontId="0" fillId="0" borderId="3" xfId="1" applyNumberFormat="1" applyFont="1" applyBorder="1"/>
    <xf numFmtId="2" fontId="2" fillId="0" borderId="3" xfId="0" applyNumberFormat="1" applyFont="1" applyBorder="1"/>
    <xf numFmtId="10" fontId="2" fillId="0" borderId="3" xfId="1" applyNumberFormat="1" applyFont="1" applyBorder="1"/>
    <xf numFmtId="9" fontId="2" fillId="0" borderId="3" xfId="1" applyFont="1" applyBorder="1"/>
    <xf numFmtId="2" fontId="2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wrapText="1"/>
    </xf>
    <xf numFmtId="165" fontId="0" fillId="0" borderId="3" xfId="0" applyNumberFormat="1" applyBorder="1"/>
    <xf numFmtId="1" fontId="2" fillId="0" borderId="3" xfId="1" applyNumberFormat="1" applyFont="1" applyBorder="1"/>
    <xf numFmtId="2" fontId="2" fillId="0" borderId="3" xfId="1" applyNumberFormat="1" applyFont="1" applyBorder="1"/>
    <xf numFmtId="166" fontId="0" fillId="0" borderId="3" xfId="10" applyNumberFormat="1" applyFont="1" applyBorder="1"/>
    <xf numFmtId="166" fontId="1" fillId="0" borderId="3" xfId="10" applyNumberFormat="1" applyFont="1" applyBorder="1"/>
    <xf numFmtId="1" fontId="0" fillId="3" borderId="3" xfId="0" applyNumberFormat="1" applyFill="1" applyBorder="1"/>
    <xf numFmtId="1" fontId="1" fillId="3" borderId="3" xfId="0" applyNumberFormat="1" applyFont="1" applyFill="1" applyBorder="1"/>
    <xf numFmtId="1" fontId="1" fillId="0" borderId="3" xfId="0" applyNumberFormat="1" applyFont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vertical="center" wrapText="1"/>
    </xf>
    <xf numFmtId="1" fontId="6" fillId="2" borderId="3" xfId="0" applyNumberFormat="1" applyFont="1" applyFill="1" applyBorder="1" applyAlignment="1">
      <alignment vertical="center"/>
    </xf>
    <xf numFmtId="1" fontId="1" fillId="0" borderId="3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vertical="center"/>
    </xf>
    <xf numFmtId="1" fontId="0" fillId="0" borderId="3" xfId="0" applyNumberForma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wrapText="1"/>
    </xf>
    <xf numFmtId="1" fontId="11" fillId="0" borderId="3" xfId="0" applyNumberFormat="1" applyFont="1" applyBorder="1"/>
    <xf numFmtId="167" fontId="0" fillId="0" borderId="3" xfId="0" applyNumberFormat="1" applyBorder="1"/>
    <xf numFmtId="167" fontId="0" fillId="0" borderId="3" xfId="1" applyNumberFormat="1" applyFont="1" applyBorder="1"/>
    <xf numFmtId="1" fontId="0" fillId="0" borderId="0" xfId="0" applyNumberFormat="1" applyFill="1"/>
    <xf numFmtId="1" fontId="2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1" fontId="1" fillId="0" borderId="3" xfId="0" applyNumberFormat="1" applyFont="1" applyFill="1" applyBorder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3" xfId="2" applyNumberFormat="1" applyFont="1" applyBorder="1" applyAlignment="1">
      <alignment horizontal="center"/>
    </xf>
    <xf numFmtId="164" fontId="0" fillId="0" borderId="3" xfId="1" applyNumberFormat="1" applyFont="1" applyBorder="1"/>
    <xf numFmtId="9" fontId="0" fillId="0" borderId="3" xfId="1" applyNumberFormat="1" applyFont="1" applyBorder="1"/>
    <xf numFmtId="10" fontId="0" fillId="0" borderId="3" xfId="1" applyNumberFormat="1" applyFont="1" applyBorder="1" applyAlignment="1">
      <alignment horizontal="right"/>
    </xf>
    <xf numFmtId="9" fontId="0" fillId="0" borderId="0" xfId="0" applyNumberFormat="1"/>
  </cellXfs>
  <cellStyles count="11">
    <cellStyle name="Comma" xfId="10" builtinId="3"/>
    <cellStyle name="Comma 2" xfId="3" xr:uid="{00000000-0005-0000-0000-000000000000}"/>
    <cellStyle name="Comma 3" xfId="5" xr:uid="{00000000-0005-0000-0000-000001000000}"/>
    <cellStyle name="Comma 4" xfId="7" xr:uid="{00000000-0005-0000-0000-000002000000}"/>
    <cellStyle name="Currency" xfId="2" builtinId="4"/>
    <cellStyle name="Excel Built-in Normal" xfId="6" xr:uid="{00000000-0005-0000-0000-000004000000}"/>
    <cellStyle name="Normal" xfId="0" builtinId="0"/>
    <cellStyle name="Normal 10" xfId="8" xr:uid="{00000000-0005-0000-0000-000006000000}"/>
    <cellStyle name="Normal 2" xfId="4" xr:uid="{00000000-0005-0000-0000-000007000000}"/>
    <cellStyle name="Normal 2 2" xfId="9" xr:uid="{00000000-0005-0000-0000-000008000000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33.140625" style="3" customWidth="1"/>
    <col min="2" max="63" width="16" style="3" customWidth="1"/>
    <col min="64" max="64" width="16" style="9" customWidth="1"/>
    <col min="65" max="65" width="16" style="4" customWidth="1"/>
    <col min="66" max="16384" width="9.140625" style="3"/>
  </cols>
  <sheetData>
    <row r="1" spans="1:65" ht="18.75" x14ac:dyDescent="0.3">
      <c r="A1" s="1" t="s">
        <v>32</v>
      </c>
    </row>
    <row r="2" spans="1:65" x14ac:dyDescent="0.25">
      <c r="A2" s="2" t="s">
        <v>98</v>
      </c>
    </row>
    <row r="3" spans="1:65" s="16" customFormat="1" x14ac:dyDescent="0.25">
      <c r="A3" s="32" t="s">
        <v>0</v>
      </c>
      <c r="B3" s="94" t="s">
        <v>1</v>
      </c>
      <c r="C3" s="95"/>
      <c r="D3" s="94" t="s">
        <v>232</v>
      </c>
      <c r="E3" s="95"/>
      <c r="F3" s="94" t="s">
        <v>2</v>
      </c>
      <c r="G3" s="95"/>
      <c r="H3" s="94" t="s">
        <v>3</v>
      </c>
      <c r="I3" s="95"/>
      <c r="J3" s="94" t="s">
        <v>241</v>
      </c>
      <c r="K3" s="95"/>
      <c r="L3" s="94" t="s">
        <v>233</v>
      </c>
      <c r="M3" s="95"/>
      <c r="N3" s="94" t="s">
        <v>246</v>
      </c>
      <c r="O3" s="95"/>
      <c r="P3" s="94" t="s">
        <v>5</v>
      </c>
      <c r="Q3" s="95"/>
      <c r="R3" s="94" t="s">
        <v>4</v>
      </c>
      <c r="S3" s="95"/>
      <c r="T3" s="94" t="s">
        <v>6</v>
      </c>
      <c r="U3" s="95"/>
      <c r="V3" s="94" t="s">
        <v>7</v>
      </c>
      <c r="W3" s="95"/>
      <c r="X3" s="94" t="s">
        <v>8</v>
      </c>
      <c r="Y3" s="95"/>
      <c r="Z3" s="94" t="s">
        <v>9</v>
      </c>
      <c r="AA3" s="95"/>
      <c r="AB3" s="94" t="s">
        <v>240</v>
      </c>
      <c r="AC3" s="95"/>
      <c r="AD3" s="94" t="s">
        <v>10</v>
      </c>
      <c r="AE3" s="95"/>
      <c r="AF3" s="94" t="s">
        <v>11</v>
      </c>
      <c r="AG3" s="95"/>
      <c r="AH3" s="94" t="s">
        <v>234</v>
      </c>
      <c r="AI3" s="95"/>
      <c r="AJ3" s="94" t="s">
        <v>12</v>
      </c>
      <c r="AK3" s="95"/>
      <c r="AL3" s="94" t="s">
        <v>235</v>
      </c>
      <c r="AM3" s="95"/>
      <c r="AN3" s="94" t="s">
        <v>300</v>
      </c>
      <c r="AO3" s="95"/>
      <c r="AP3" s="94" t="s">
        <v>236</v>
      </c>
      <c r="AQ3" s="95"/>
      <c r="AR3" s="94" t="s">
        <v>239</v>
      </c>
      <c r="AS3" s="95"/>
      <c r="AT3" s="94" t="s">
        <v>13</v>
      </c>
      <c r="AU3" s="95"/>
      <c r="AV3" s="94" t="s">
        <v>14</v>
      </c>
      <c r="AW3" s="95"/>
      <c r="AX3" s="94" t="s">
        <v>15</v>
      </c>
      <c r="AY3" s="95"/>
      <c r="AZ3" s="94" t="s">
        <v>16</v>
      </c>
      <c r="BA3" s="95"/>
      <c r="BB3" s="94" t="s">
        <v>17</v>
      </c>
      <c r="BC3" s="95"/>
      <c r="BD3" s="94" t="s">
        <v>237</v>
      </c>
      <c r="BE3" s="95"/>
      <c r="BF3" s="94" t="s">
        <v>238</v>
      </c>
      <c r="BG3" s="95"/>
      <c r="BH3" s="94" t="s">
        <v>18</v>
      </c>
      <c r="BI3" s="95"/>
      <c r="BJ3" s="94" t="s">
        <v>19</v>
      </c>
      <c r="BK3" s="95"/>
      <c r="BL3" s="96" t="s">
        <v>20</v>
      </c>
      <c r="BM3" s="97"/>
    </row>
    <row r="4" spans="1:65" s="15" customFormat="1" ht="30" x14ac:dyDescent="0.25">
      <c r="A4" s="33"/>
      <c r="B4" s="34" t="s">
        <v>298</v>
      </c>
      <c r="C4" s="35" t="s">
        <v>299</v>
      </c>
      <c r="D4" s="34" t="s">
        <v>298</v>
      </c>
      <c r="E4" s="35" t="s">
        <v>299</v>
      </c>
      <c r="F4" s="34" t="s">
        <v>298</v>
      </c>
      <c r="G4" s="35" t="s">
        <v>299</v>
      </c>
      <c r="H4" s="34" t="s">
        <v>298</v>
      </c>
      <c r="I4" s="35" t="s">
        <v>299</v>
      </c>
      <c r="J4" s="34" t="s">
        <v>298</v>
      </c>
      <c r="K4" s="35" t="s">
        <v>299</v>
      </c>
      <c r="L4" s="34" t="s">
        <v>298</v>
      </c>
      <c r="M4" s="35" t="s">
        <v>299</v>
      </c>
      <c r="N4" s="34" t="s">
        <v>298</v>
      </c>
      <c r="O4" s="35" t="s">
        <v>299</v>
      </c>
      <c r="P4" s="34" t="s">
        <v>298</v>
      </c>
      <c r="Q4" s="35" t="s">
        <v>299</v>
      </c>
      <c r="R4" s="34" t="s">
        <v>298</v>
      </c>
      <c r="S4" s="35" t="s">
        <v>299</v>
      </c>
      <c r="T4" s="34" t="s">
        <v>298</v>
      </c>
      <c r="U4" s="35" t="s">
        <v>299</v>
      </c>
      <c r="V4" s="34" t="s">
        <v>298</v>
      </c>
      <c r="W4" s="35" t="s">
        <v>299</v>
      </c>
      <c r="X4" s="34" t="s">
        <v>298</v>
      </c>
      <c r="Y4" s="35" t="s">
        <v>299</v>
      </c>
      <c r="Z4" s="34" t="s">
        <v>298</v>
      </c>
      <c r="AA4" s="35" t="s">
        <v>299</v>
      </c>
      <c r="AB4" s="34" t="s">
        <v>298</v>
      </c>
      <c r="AC4" s="35" t="s">
        <v>299</v>
      </c>
      <c r="AD4" s="34" t="s">
        <v>298</v>
      </c>
      <c r="AE4" s="35" t="s">
        <v>299</v>
      </c>
      <c r="AF4" s="34" t="s">
        <v>298</v>
      </c>
      <c r="AG4" s="35" t="s">
        <v>299</v>
      </c>
      <c r="AH4" s="34" t="s">
        <v>298</v>
      </c>
      <c r="AI4" s="35" t="s">
        <v>299</v>
      </c>
      <c r="AJ4" s="34" t="s">
        <v>298</v>
      </c>
      <c r="AK4" s="35" t="s">
        <v>299</v>
      </c>
      <c r="AL4" s="34" t="s">
        <v>298</v>
      </c>
      <c r="AM4" s="35" t="s">
        <v>299</v>
      </c>
      <c r="AN4" s="34" t="s">
        <v>298</v>
      </c>
      <c r="AO4" s="35" t="s">
        <v>299</v>
      </c>
      <c r="AP4" s="34" t="s">
        <v>298</v>
      </c>
      <c r="AQ4" s="35" t="s">
        <v>299</v>
      </c>
      <c r="AR4" s="34" t="s">
        <v>298</v>
      </c>
      <c r="AS4" s="35" t="s">
        <v>299</v>
      </c>
      <c r="AT4" s="34" t="s">
        <v>298</v>
      </c>
      <c r="AU4" s="35" t="s">
        <v>299</v>
      </c>
      <c r="AV4" s="34" t="s">
        <v>298</v>
      </c>
      <c r="AW4" s="35" t="s">
        <v>299</v>
      </c>
      <c r="AX4" s="34" t="s">
        <v>298</v>
      </c>
      <c r="AY4" s="35" t="s">
        <v>299</v>
      </c>
      <c r="AZ4" s="34" t="s">
        <v>298</v>
      </c>
      <c r="BA4" s="35" t="s">
        <v>299</v>
      </c>
      <c r="BB4" s="34" t="s">
        <v>298</v>
      </c>
      <c r="BC4" s="35" t="s">
        <v>299</v>
      </c>
      <c r="BD4" s="34" t="s">
        <v>298</v>
      </c>
      <c r="BE4" s="35" t="s">
        <v>299</v>
      </c>
      <c r="BF4" s="34" t="s">
        <v>298</v>
      </c>
      <c r="BG4" s="35" t="s">
        <v>299</v>
      </c>
      <c r="BH4" s="34" t="s">
        <v>298</v>
      </c>
      <c r="BI4" s="35" t="s">
        <v>299</v>
      </c>
      <c r="BJ4" s="34" t="s">
        <v>298</v>
      </c>
      <c r="BK4" s="35" t="s">
        <v>299</v>
      </c>
      <c r="BL4" s="34" t="s">
        <v>298</v>
      </c>
      <c r="BM4" s="35" t="s">
        <v>299</v>
      </c>
    </row>
    <row r="5" spans="1:65" x14ac:dyDescent="0.25">
      <c r="A5" s="36" t="s">
        <v>21</v>
      </c>
      <c r="B5" s="24">
        <v>20455</v>
      </c>
      <c r="C5" s="24">
        <v>36365</v>
      </c>
      <c r="D5" s="24">
        <v>42751</v>
      </c>
      <c r="E5" s="24">
        <v>83950</v>
      </c>
      <c r="F5" s="24">
        <v>343855</v>
      </c>
      <c r="G5" s="24">
        <v>414059</v>
      </c>
      <c r="H5" s="24">
        <v>209033</v>
      </c>
      <c r="I5" s="24">
        <v>394247</v>
      </c>
      <c r="J5" s="24">
        <v>98354</v>
      </c>
      <c r="K5" s="24">
        <v>176083</v>
      </c>
      <c r="L5" s="24">
        <v>98005</v>
      </c>
      <c r="M5" s="24">
        <v>190135</v>
      </c>
      <c r="N5" s="24">
        <v>125117</v>
      </c>
      <c r="O5" s="24">
        <v>240640</v>
      </c>
      <c r="P5" s="24">
        <v>22286.94</v>
      </c>
      <c r="Q5" s="24">
        <v>39800.720000000001</v>
      </c>
      <c r="R5" s="24">
        <v>7417.79</v>
      </c>
      <c r="S5" s="24">
        <v>14174.28</v>
      </c>
      <c r="T5" s="24">
        <v>66791.820000000007</v>
      </c>
      <c r="U5" s="24">
        <v>128714.8</v>
      </c>
      <c r="V5" s="24">
        <v>211810</v>
      </c>
      <c r="W5" s="24">
        <v>379635</v>
      </c>
      <c r="X5" s="24">
        <v>383655</v>
      </c>
      <c r="Y5" s="24">
        <v>730477</v>
      </c>
      <c r="Z5" s="24">
        <v>154420</v>
      </c>
      <c r="AA5" s="24">
        <v>302851</v>
      </c>
      <c r="AB5" s="24">
        <v>16855</v>
      </c>
      <c r="AC5" s="24">
        <v>31740</v>
      </c>
      <c r="AD5" s="24">
        <v>37418</v>
      </c>
      <c r="AE5" s="24">
        <v>71403</v>
      </c>
      <c r="AF5" s="24">
        <v>35761</v>
      </c>
      <c r="AG5" s="24">
        <v>65989</v>
      </c>
      <c r="AH5" s="24">
        <v>25700.5</v>
      </c>
      <c r="AI5" s="24">
        <v>49435.35</v>
      </c>
      <c r="AJ5" s="24">
        <v>365706.88</v>
      </c>
      <c r="AK5" s="24">
        <v>647645.22</v>
      </c>
      <c r="AL5" s="24">
        <v>2684</v>
      </c>
      <c r="AM5" s="24">
        <v>5435</v>
      </c>
      <c r="AN5" s="24">
        <v>62996</v>
      </c>
      <c r="AO5" s="24">
        <v>115544</v>
      </c>
      <c r="AP5" s="24">
        <v>8993</v>
      </c>
      <c r="AQ5" s="24">
        <v>17330</v>
      </c>
      <c r="AR5" s="24">
        <v>160779</v>
      </c>
      <c r="AS5" s="24">
        <v>292485</v>
      </c>
      <c r="AT5" s="24">
        <v>59385</v>
      </c>
      <c r="AU5" s="24">
        <v>115548</v>
      </c>
      <c r="AV5" s="24">
        <v>120011</v>
      </c>
      <c r="AW5" s="24">
        <v>220374</v>
      </c>
      <c r="AX5" s="24">
        <v>43596</v>
      </c>
      <c r="AY5" s="24">
        <v>83854</v>
      </c>
      <c r="AZ5" s="24">
        <v>279478</v>
      </c>
      <c r="BA5" s="24">
        <v>548184</v>
      </c>
      <c r="BB5" s="24">
        <v>211719</v>
      </c>
      <c r="BC5" s="24">
        <v>407359</v>
      </c>
      <c r="BD5" s="24">
        <v>730847</v>
      </c>
      <c r="BE5" s="24">
        <v>1449008</v>
      </c>
      <c r="BF5" s="24">
        <v>378021</v>
      </c>
      <c r="BG5" s="24">
        <v>674266</v>
      </c>
      <c r="BH5" s="24">
        <v>351797</v>
      </c>
      <c r="BI5" s="24">
        <v>686691</v>
      </c>
      <c r="BJ5" s="24">
        <v>53410</v>
      </c>
      <c r="BK5" s="24">
        <v>97018</v>
      </c>
      <c r="BL5" s="37">
        <f>B5+D5+F5+H5+J5+L5+N5+P5+R5+T5+V5+X5+Z5+AB5+AD5+AF5+AH5+AJ5+AL5+AN5+AP5+AR5+AT5+AV5+AX5+AZ5+BB5+BD5+BF5+BH5+BJ5</f>
        <v>4729108.93</v>
      </c>
      <c r="BM5" s="37">
        <f>C5+E5+G5+I5+K5+M5+O5+Q5+S5+U5+W5+Y5+AA5+AC5+AE5+AG5+AI5+AK5+AM5+AO5+AQ5+AS5+AU5+AW5+AY5+BA5+BC5+BE5+BG5+BI5+BK5</f>
        <v>8710440.370000001</v>
      </c>
    </row>
    <row r="6" spans="1:65" ht="30" x14ac:dyDescent="0.25">
      <c r="A6" s="36" t="s">
        <v>22</v>
      </c>
      <c r="B6" s="24">
        <v>104</v>
      </c>
      <c r="C6" s="24">
        <v>96</v>
      </c>
      <c r="D6" s="24">
        <v>281</v>
      </c>
      <c r="E6" s="24">
        <v>346</v>
      </c>
      <c r="F6" s="24">
        <v>1264</v>
      </c>
      <c r="G6" s="24">
        <v>1850</v>
      </c>
      <c r="H6" s="24">
        <v>8579</v>
      </c>
      <c r="I6" s="24">
        <v>27709</v>
      </c>
      <c r="J6" s="24">
        <v>108</v>
      </c>
      <c r="K6" s="24">
        <v>184</v>
      </c>
      <c r="L6" s="24">
        <v>955</v>
      </c>
      <c r="M6" s="24">
        <v>1270</v>
      </c>
      <c r="N6" s="24">
        <v>160</v>
      </c>
      <c r="O6" s="24">
        <v>378</v>
      </c>
      <c r="P6" s="24">
        <v>1423.84</v>
      </c>
      <c r="Q6" s="24">
        <v>1698.44</v>
      </c>
      <c r="R6" s="24">
        <v>198.11</v>
      </c>
      <c r="S6" s="24">
        <v>68.22</v>
      </c>
      <c r="T6" s="24">
        <v>290.11</v>
      </c>
      <c r="U6" s="24">
        <v>454.7</v>
      </c>
      <c r="V6" s="24">
        <v>3316</v>
      </c>
      <c r="W6" s="24">
        <v>5498</v>
      </c>
      <c r="X6" s="24">
        <v>15272</v>
      </c>
      <c r="Y6" s="24">
        <v>17718</v>
      </c>
      <c r="Z6" s="24">
        <v>25</v>
      </c>
      <c r="AA6" s="24">
        <v>47</v>
      </c>
      <c r="AB6" s="24">
        <v>251</v>
      </c>
      <c r="AC6" s="24">
        <v>102</v>
      </c>
      <c r="AD6" s="24">
        <v>55</v>
      </c>
      <c r="AE6" s="24">
        <v>233</v>
      </c>
      <c r="AF6" s="24">
        <v>74</v>
      </c>
      <c r="AG6" s="24">
        <v>294</v>
      </c>
      <c r="AH6" s="24"/>
      <c r="AI6" s="24"/>
      <c r="AJ6" s="24">
        <v>23865.89</v>
      </c>
      <c r="AK6" s="24">
        <v>33058.76</v>
      </c>
      <c r="AL6" s="24">
        <v>-40</v>
      </c>
      <c r="AM6" s="24">
        <v>-209</v>
      </c>
      <c r="AN6" s="24">
        <v>86</v>
      </c>
      <c r="AO6" s="24">
        <v>148</v>
      </c>
      <c r="AP6" s="24">
        <v>37</v>
      </c>
      <c r="AQ6" s="24">
        <v>40</v>
      </c>
      <c r="AR6" s="24">
        <v>2904</v>
      </c>
      <c r="AS6" s="24">
        <v>3831</v>
      </c>
      <c r="AT6" s="24">
        <v>1272</v>
      </c>
      <c r="AU6" s="24">
        <v>4344</v>
      </c>
      <c r="AV6" s="24">
        <v>-27</v>
      </c>
      <c r="AW6" s="24">
        <v>67</v>
      </c>
      <c r="AX6" s="24">
        <v>-153</v>
      </c>
      <c r="AY6" s="24">
        <v>479</v>
      </c>
      <c r="AZ6" s="24">
        <v>105</v>
      </c>
      <c r="BA6" s="24">
        <v>377</v>
      </c>
      <c r="BB6" s="24">
        <v>2516</v>
      </c>
      <c r="BC6" s="24">
        <v>22127</v>
      </c>
      <c r="BD6" s="24">
        <v>215926</v>
      </c>
      <c r="BE6" s="24">
        <v>244330</v>
      </c>
      <c r="BF6" s="24">
        <v>23115</v>
      </c>
      <c r="BG6" s="24">
        <v>30324</v>
      </c>
      <c r="BH6" s="24">
        <v>28434</v>
      </c>
      <c r="BI6" s="24">
        <v>45823</v>
      </c>
      <c r="BJ6" s="24">
        <v>133</v>
      </c>
      <c r="BK6" s="24">
        <v>271</v>
      </c>
      <c r="BL6" s="37">
        <f t="shared" ref="BL6:BM15" si="0">B6+D6+F6+H6+J6+L6+N6+P6+R6+T6+V6+X6+Z6+AB6+AD6+AF6+AH6+AJ6+AL6+AN6+AP6+AR6+AT6+AV6+AX6+AZ6+BB6+BD6+BF6+BH6+BJ6</f>
        <v>330529.95</v>
      </c>
      <c r="BM6" s="37">
        <f t="shared" si="0"/>
        <v>442957.12</v>
      </c>
    </row>
    <row r="7" spans="1:65" x14ac:dyDescent="0.25">
      <c r="A7" s="36" t="s">
        <v>24</v>
      </c>
      <c r="B7" s="24">
        <v>1458</v>
      </c>
      <c r="C7" s="24">
        <v>2362</v>
      </c>
      <c r="D7" s="3">
        <v>2414</v>
      </c>
      <c r="E7" s="24">
        <v>4471</v>
      </c>
      <c r="F7" s="24">
        <v>18373</v>
      </c>
      <c r="G7" s="24">
        <v>34032</v>
      </c>
      <c r="H7" s="24">
        <v>25726</v>
      </c>
      <c r="I7" s="24">
        <v>52162</v>
      </c>
      <c r="J7" s="24">
        <v>3401</v>
      </c>
      <c r="K7" s="24">
        <v>7330</v>
      </c>
      <c r="L7" s="24">
        <v>18249</v>
      </c>
      <c r="M7" s="24">
        <v>35485</v>
      </c>
      <c r="N7" s="24">
        <v>14954</v>
      </c>
      <c r="O7" s="24">
        <v>27536</v>
      </c>
      <c r="P7" s="24">
        <v>12731.25</v>
      </c>
      <c r="Q7" s="24">
        <v>25177.46</v>
      </c>
      <c r="R7" s="24">
        <v>660.47</v>
      </c>
      <c r="S7" s="24">
        <v>1156.83</v>
      </c>
      <c r="T7" s="24">
        <v>8291.98</v>
      </c>
      <c r="U7" s="24">
        <v>16410.060000000001</v>
      </c>
      <c r="V7" s="24">
        <v>25313</v>
      </c>
      <c r="W7" s="24">
        <v>49070</v>
      </c>
      <c r="X7" s="24">
        <v>48255</v>
      </c>
      <c r="Y7" s="24">
        <v>94812</v>
      </c>
      <c r="Z7" s="24">
        <v>17367</v>
      </c>
      <c r="AA7" s="24">
        <v>33571</v>
      </c>
      <c r="AB7" s="24">
        <v>1845</v>
      </c>
      <c r="AC7" s="24">
        <v>3334</v>
      </c>
      <c r="AD7" s="24">
        <v>4590</v>
      </c>
      <c r="AE7" s="24">
        <v>8927</v>
      </c>
      <c r="AF7" s="24">
        <v>6056</v>
      </c>
      <c r="AG7" s="24">
        <v>11184</v>
      </c>
      <c r="AH7" s="24">
        <v>33.07</v>
      </c>
      <c r="AI7" s="24">
        <v>56.44</v>
      </c>
      <c r="AJ7" s="24">
        <v>48424.18</v>
      </c>
      <c r="AK7" s="24">
        <v>94694.3</v>
      </c>
      <c r="AL7" s="24">
        <v>626</v>
      </c>
      <c r="AM7" s="24">
        <v>1330</v>
      </c>
      <c r="AN7" s="24">
        <v>2873</v>
      </c>
      <c r="AO7" s="24">
        <v>5390</v>
      </c>
      <c r="AP7" s="24">
        <v>1017</v>
      </c>
      <c r="AQ7" s="24">
        <v>2005</v>
      </c>
      <c r="AR7" s="24">
        <v>20985</v>
      </c>
      <c r="AS7" s="24">
        <v>41322</v>
      </c>
      <c r="AT7" s="24">
        <v>9242</v>
      </c>
      <c r="AU7" s="24">
        <v>18231</v>
      </c>
      <c r="AV7" s="24">
        <v>15424</v>
      </c>
      <c r="AW7" s="24">
        <v>29462</v>
      </c>
      <c r="AX7" s="24">
        <v>15400</v>
      </c>
      <c r="AY7" s="24">
        <v>30103</v>
      </c>
      <c r="AZ7" s="24">
        <v>12222</v>
      </c>
      <c r="BA7" s="24">
        <v>24147</v>
      </c>
      <c r="BB7" s="24">
        <v>28872</v>
      </c>
      <c r="BC7" s="24">
        <v>55666</v>
      </c>
      <c r="BD7" s="24">
        <v>86334</v>
      </c>
      <c r="BE7" s="24">
        <v>154156</v>
      </c>
      <c r="BF7" s="24">
        <v>72526</v>
      </c>
      <c r="BG7" s="24">
        <v>109151</v>
      </c>
      <c r="BH7" s="24">
        <v>61323</v>
      </c>
      <c r="BI7" s="24">
        <v>105883</v>
      </c>
      <c r="BJ7" s="24">
        <v>4305</v>
      </c>
      <c r="BK7" s="24">
        <v>8839</v>
      </c>
      <c r="BL7" s="37">
        <f t="shared" si="0"/>
        <v>589290.94999999995</v>
      </c>
      <c r="BM7" s="37">
        <f t="shared" si="0"/>
        <v>1087456.0899999999</v>
      </c>
    </row>
    <row r="8" spans="1:65" x14ac:dyDescent="0.25">
      <c r="A8" s="36" t="s">
        <v>23</v>
      </c>
      <c r="B8" s="24">
        <f t="shared" ref="B8:BK8" si="1">B9-B7-B6-B5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-376</v>
      </c>
      <c r="G8" s="24">
        <f t="shared" si="1"/>
        <v>-323</v>
      </c>
      <c r="H8" s="24">
        <f t="shared" si="1"/>
        <v>659</v>
      </c>
      <c r="I8" s="24">
        <f t="shared" si="1"/>
        <v>1447</v>
      </c>
      <c r="J8" s="24">
        <f t="shared" si="1"/>
        <v>0</v>
      </c>
      <c r="K8" s="24">
        <f t="shared" si="1"/>
        <v>0</v>
      </c>
      <c r="L8" s="24">
        <f t="shared" si="1"/>
        <v>10827</v>
      </c>
      <c r="M8" s="24">
        <f t="shared" si="1"/>
        <v>17796</v>
      </c>
      <c r="N8" s="24">
        <f t="shared" si="1"/>
        <v>0</v>
      </c>
      <c r="O8" s="24">
        <f t="shared" si="1"/>
        <v>0</v>
      </c>
      <c r="P8" s="24">
        <f t="shared" si="1"/>
        <v>50.959999999999127</v>
      </c>
      <c r="Q8" s="24">
        <f t="shared" si="1"/>
        <v>89.090000000003783</v>
      </c>
      <c r="R8" s="24">
        <f t="shared" si="1"/>
        <v>4.410000000000764</v>
      </c>
      <c r="S8" s="24">
        <f t="shared" si="1"/>
        <v>28</v>
      </c>
      <c r="T8" s="24">
        <f t="shared" si="1"/>
        <v>11.229999999995925</v>
      </c>
      <c r="U8" s="24">
        <f t="shared" si="1"/>
        <v>24.220000000001164</v>
      </c>
      <c r="V8" s="24">
        <f t="shared" si="1"/>
        <v>284</v>
      </c>
      <c r="W8" s="24">
        <f t="shared" si="1"/>
        <v>414</v>
      </c>
      <c r="X8" s="24">
        <f t="shared" si="1"/>
        <v>2722</v>
      </c>
      <c r="Y8" s="24">
        <f t="shared" si="1"/>
        <v>4725</v>
      </c>
      <c r="Z8" s="24">
        <f t="shared" si="1"/>
        <v>-88</v>
      </c>
      <c r="AA8" s="24">
        <f t="shared" si="1"/>
        <v>-143</v>
      </c>
      <c r="AB8" s="24">
        <f t="shared" si="1"/>
        <v>17</v>
      </c>
      <c r="AC8" s="24">
        <f t="shared" si="1"/>
        <v>18</v>
      </c>
      <c r="AD8" s="24">
        <f t="shared" si="1"/>
        <v>0</v>
      </c>
      <c r="AE8" s="24">
        <f t="shared" si="1"/>
        <v>0</v>
      </c>
      <c r="AF8" s="24">
        <f t="shared" si="1"/>
        <v>6529</v>
      </c>
      <c r="AG8" s="24">
        <f t="shared" si="1"/>
        <v>10908</v>
      </c>
      <c r="AH8" s="24">
        <f t="shared" si="1"/>
        <v>1106.2400000000016</v>
      </c>
      <c r="AI8" s="24">
        <f t="shared" si="1"/>
        <v>2113.0199999999968</v>
      </c>
      <c r="AJ8" s="24">
        <f t="shared" si="1"/>
        <v>0</v>
      </c>
      <c r="AK8" s="24">
        <f t="shared" si="1"/>
        <v>0</v>
      </c>
      <c r="AL8" s="24">
        <f t="shared" si="1"/>
        <v>0</v>
      </c>
      <c r="AM8" s="24">
        <f t="shared" si="1"/>
        <v>0</v>
      </c>
      <c r="AN8" s="24">
        <f t="shared" si="1"/>
        <v>8180</v>
      </c>
      <c r="AO8" s="24">
        <f t="shared" si="1"/>
        <v>12816</v>
      </c>
      <c r="AP8" s="24">
        <f t="shared" si="1"/>
        <v>1178</v>
      </c>
      <c r="AQ8" s="24">
        <f t="shared" si="1"/>
        <v>3137</v>
      </c>
      <c r="AR8" s="24">
        <f t="shared" si="1"/>
        <v>11964</v>
      </c>
      <c r="AS8" s="24">
        <f t="shared" si="1"/>
        <v>14395</v>
      </c>
      <c r="AT8" s="24">
        <f t="shared" si="1"/>
        <v>177</v>
      </c>
      <c r="AU8" s="24">
        <f t="shared" si="1"/>
        <v>364</v>
      </c>
      <c r="AV8" s="24">
        <f t="shared" si="1"/>
        <v>43</v>
      </c>
      <c r="AW8" s="24">
        <f t="shared" si="1"/>
        <v>79</v>
      </c>
      <c r="AX8" s="24">
        <f t="shared" si="1"/>
        <v>97</v>
      </c>
      <c r="AY8" s="24">
        <f t="shared" si="1"/>
        <v>97</v>
      </c>
      <c r="AZ8" s="24">
        <f t="shared" si="1"/>
        <v>0</v>
      </c>
      <c r="BA8" s="24">
        <f t="shared" si="1"/>
        <v>-1</v>
      </c>
      <c r="BB8" s="24">
        <f t="shared" si="1"/>
        <v>316</v>
      </c>
      <c r="BC8" s="24">
        <f t="shared" si="1"/>
        <v>607</v>
      </c>
      <c r="BD8" s="24">
        <f t="shared" si="1"/>
        <v>1</v>
      </c>
      <c r="BE8" s="24">
        <f t="shared" si="1"/>
        <v>0</v>
      </c>
      <c r="BF8" s="24">
        <f t="shared" si="1"/>
        <v>-1521</v>
      </c>
      <c r="BG8" s="24">
        <f t="shared" si="1"/>
        <v>-2897</v>
      </c>
      <c r="BH8" s="24">
        <f t="shared" si="1"/>
        <v>32</v>
      </c>
      <c r="BI8" s="24">
        <f t="shared" si="1"/>
        <v>63</v>
      </c>
      <c r="BJ8" s="24">
        <f t="shared" si="1"/>
        <v>-1</v>
      </c>
      <c r="BK8" s="24">
        <f t="shared" si="1"/>
        <v>0</v>
      </c>
      <c r="BL8" s="37">
        <f>B8+D8+F8+H8+J8+L8+N8+P8+R8+T8+V8+X8+Z8+AB8+AD8+AF8+AH8+AJ8+AL8+AN8+AP8+AR8+AT8+AV8+AX8+AZ8+BB8+BD8+BF8+BH8+BJ8</f>
        <v>42212.84</v>
      </c>
      <c r="BM8" s="37">
        <f>C8+E8+G8+I8+K8+M8+O8+Q8+S8+U8+W8+Y8+AA8+AC8+AE8+AG8+AI8+AK8+AM8+AO8+AQ8+AS8+AU8+AW8+AY8+BA8+BC8+BE8+BG8+BI8+BK8</f>
        <v>65756.33</v>
      </c>
    </row>
    <row r="9" spans="1:65" s="4" customFormat="1" x14ac:dyDescent="0.25">
      <c r="A9" s="38" t="s">
        <v>25</v>
      </c>
      <c r="B9" s="26">
        <v>22017</v>
      </c>
      <c r="C9" s="26">
        <v>38823</v>
      </c>
      <c r="D9" s="26">
        <v>45446</v>
      </c>
      <c r="E9" s="26">
        <v>88767</v>
      </c>
      <c r="F9" s="26">
        <v>363116</v>
      </c>
      <c r="G9" s="26">
        <v>449618</v>
      </c>
      <c r="H9" s="26">
        <v>243997</v>
      </c>
      <c r="I9" s="26">
        <v>475565</v>
      </c>
      <c r="J9" s="26">
        <v>101863</v>
      </c>
      <c r="K9" s="26">
        <v>183597</v>
      </c>
      <c r="L9" s="26">
        <v>128036</v>
      </c>
      <c r="M9" s="26">
        <v>244686</v>
      </c>
      <c r="N9" s="26">
        <v>140231</v>
      </c>
      <c r="O9" s="26">
        <v>268554</v>
      </c>
      <c r="P9" s="26">
        <v>36492.99</v>
      </c>
      <c r="Q9" s="26">
        <v>66765.710000000006</v>
      </c>
      <c r="R9" s="26">
        <v>8280.7800000000007</v>
      </c>
      <c r="S9" s="26">
        <v>15427.33</v>
      </c>
      <c r="T9" s="26">
        <v>75385.14</v>
      </c>
      <c r="U9" s="26">
        <v>145603.78</v>
      </c>
      <c r="V9" s="26">
        <v>240723</v>
      </c>
      <c r="W9" s="26">
        <v>434617</v>
      </c>
      <c r="X9" s="26">
        <v>449904</v>
      </c>
      <c r="Y9" s="26">
        <v>847732</v>
      </c>
      <c r="Z9" s="26">
        <v>171724</v>
      </c>
      <c r="AA9" s="26">
        <v>336326</v>
      </c>
      <c r="AB9" s="26">
        <v>18968</v>
      </c>
      <c r="AC9" s="26">
        <v>35194</v>
      </c>
      <c r="AD9" s="26">
        <v>42063</v>
      </c>
      <c r="AE9" s="26">
        <v>80563</v>
      </c>
      <c r="AF9" s="26">
        <v>48420</v>
      </c>
      <c r="AG9" s="26">
        <v>88375</v>
      </c>
      <c r="AH9" s="26">
        <v>26839.81</v>
      </c>
      <c r="AI9" s="26">
        <v>51604.81</v>
      </c>
      <c r="AJ9" s="26">
        <v>437996.95</v>
      </c>
      <c r="AK9" s="26">
        <v>775398.28</v>
      </c>
      <c r="AL9" s="26">
        <v>3270</v>
      </c>
      <c r="AM9" s="26">
        <v>6556</v>
      </c>
      <c r="AN9" s="26">
        <v>74135</v>
      </c>
      <c r="AO9" s="26">
        <v>133898</v>
      </c>
      <c r="AP9" s="26">
        <v>11225</v>
      </c>
      <c r="AQ9" s="26">
        <v>22512</v>
      </c>
      <c r="AR9" s="26">
        <v>196632</v>
      </c>
      <c r="AS9" s="26">
        <v>352033</v>
      </c>
      <c r="AT9" s="26">
        <v>70076</v>
      </c>
      <c r="AU9" s="26">
        <v>138487</v>
      </c>
      <c r="AV9" s="26">
        <v>135451</v>
      </c>
      <c r="AW9" s="26">
        <v>249982</v>
      </c>
      <c r="AX9" s="26">
        <v>58940</v>
      </c>
      <c r="AY9" s="26">
        <v>114533</v>
      </c>
      <c r="AZ9" s="26">
        <v>291805</v>
      </c>
      <c r="BA9" s="26">
        <v>572707</v>
      </c>
      <c r="BB9" s="26">
        <v>243423</v>
      </c>
      <c r="BC9" s="26">
        <v>485759</v>
      </c>
      <c r="BD9" s="26">
        <v>1033108</v>
      </c>
      <c r="BE9" s="26">
        <v>1847494</v>
      </c>
      <c r="BF9" s="26">
        <v>472141</v>
      </c>
      <c r="BG9" s="26">
        <v>810844</v>
      </c>
      <c r="BH9" s="26">
        <v>441586</v>
      </c>
      <c r="BI9" s="26">
        <v>838460</v>
      </c>
      <c r="BJ9" s="26">
        <v>57847</v>
      </c>
      <c r="BK9" s="26">
        <v>106128</v>
      </c>
      <c r="BL9" s="39">
        <f t="shared" si="0"/>
        <v>5691142.6699999999</v>
      </c>
      <c r="BM9" s="39">
        <f t="shared" si="0"/>
        <v>10306609.91</v>
      </c>
    </row>
    <row r="10" spans="1:65" x14ac:dyDescent="0.25">
      <c r="A10" s="36" t="s">
        <v>26</v>
      </c>
      <c r="B10" s="24">
        <v>20611</v>
      </c>
      <c r="C10" s="24">
        <v>31753</v>
      </c>
      <c r="D10" s="24">
        <v>27726</v>
      </c>
      <c r="E10" s="24">
        <v>51237</v>
      </c>
      <c r="F10" s="24">
        <v>324936</v>
      </c>
      <c r="G10" s="24">
        <v>397968</v>
      </c>
      <c r="H10" s="24">
        <v>157753</v>
      </c>
      <c r="I10" s="24">
        <v>302076</v>
      </c>
      <c r="J10" s="24">
        <v>52418</v>
      </c>
      <c r="K10" s="24">
        <v>96233</v>
      </c>
      <c r="L10" s="24">
        <v>71084</v>
      </c>
      <c r="M10" s="24">
        <v>137454</v>
      </c>
      <c r="N10" s="24">
        <v>89204</v>
      </c>
      <c r="O10" s="24">
        <v>174076</v>
      </c>
      <c r="P10" s="24">
        <v>-25977.35</v>
      </c>
      <c r="Q10" s="24">
        <v>-30732.6</v>
      </c>
      <c r="R10" s="24">
        <v>6230.25</v>
      </c>
      <c r="S10" s="24">
        <v>12618.68</v>
      </c>
      <c r="T10" s="24">
        <v>47792.639999999999</v>
      </c>
      <c r="U10" s="24">
        <v>86566.25</v>
      </c>
      <c r="V10" s="24">
        <v>166026</v>
      </c>
      <c r="W10" s="24">
        <v>300488</v>
      </c>
      <c r="X10" s="24">
        <v>279333</v>
      </c>
      <c r="Y10" s="24">
        <v>529320</v>
      </c>
      <c r="Z10" s="24">
        <v>131548</v>
      </c>
      <c r="AA10" s="24">
        <v>266548</v>
      </c>
      <c r="AB10" s="24">
        <v>12010</v>
      </c>
      <c r="AC10" s="24">
        <v>22182</v>
      </c>
      <c r="AD10" s="24">
        <v>26845</v>
      </c>
      <c r="AE10" s="24">
        <v>51003</v>
      </c>
      <c r="AF10" s="24">
        <v>25037</v>
      </c>
      <c r="AG10" s="24">
        <v>46201</v>
      </c>
      <c r="AH10" s="24">
        <v>18232.63</v>
      </c>
      <c r="AI10" s="24">
        <v>33066.04</v>
      </c>
      <c r="AJ10" s="24">
        <v>315939.69</v>
      </c>
      <c r="AK10" s="24">
        <v>591370.72</v>
      </c>
      <c r="AL10" s="24">
        <v>1946</v>
      </c>
      <c r="AM10" s="24">
        <v>3900</v>
      </c>
      <c r="AN10" s="24">
        <v>36070</v>
      </c>
      <c r="AO10" s="24">
        <v>65488</v>
      </c>
      <c r="AP10" s="24">
        <v>6830</v>
      </c>
      <c r="AQ10" s="24">
        <v>13925</v>
      </c>
      <c r="AR10" s="24">
        <v>128767</v>
      </c>
      <c r="AS10" s="24">
        <v>228330</v>
      </c>
      <c r="AT10" s="24">
        <v>48828</v>
      </c>
      <c r="AU10" s="24">
        <v>96428</v>
      </c>
      <c r="AV10" s="24">
        <v>100905</v>
      </c>
      <c r="AW10" s="24">
        <v>169920</v>
      </c>
      <c r="AX10" s="24">
        <v>32785</v>
      </c>
      <c r="AY10" s="24">
        <v>64424</v>
      </c>
      <c r="AZ10" s="24">
        <v>190603</v>
      </c>
      <c r="BA10" s="24">
        <v>368715</v>
      </c>
      <c r="BB10" s="24">
        <v>160726</v>
      </c>
      <c r="BC10" s="24">
        <v>305502</v>
      </c>
      <c r="BD10" s="24">
        <v>729226</v>
      </c>
      <c r="BE10" s="24">
        <v>1404623</v>
      </c>
      <c r="BF10" s="24">
        <v>432503</v>
      </c>
      <c r="BG10" s="24">
        <v>758931</v>
      </c>
      <c r="BH10" s="24">
        <v>370756</v>
      </c>
      <c r="BI10" s="24">
        <v>700858</v>
      </c>
      <c r="BJ10" s="24">
        <v>39798</v>
      </c>
      <c r="BK10" s="24">
        <v>68857</v>
      </c>
      <c r="BL10" s="37">
        <f t="shared" si="0"/>
        <v>4026491.86</v>
      </c>
      <c r="BM10" s="37">
        <f t="shared" si="0"/>
        <v>7349329.0899999999</v>
      </c>
    </row>
    <row r="11" spans="1:65" x14ac:dyDescent="0.25">
      <c r="A11" s="36" t="s">
        <v>27</v>
      </c>
      <c r="B11" s="24">
        <v>408</v>
      </c>
      <c r="C11" s="24">
        <v>331</v>
      </c>
      <c r="D11" s="24">
        <v>1896</v>
      </c>
      <c r="E11" s="24">
        <v>4066</v>
      </c>
      <c r="F11" s="24">
        <v>-4636</v>
      </c>
      <c r="G11" s="24">
        <v>-4677</v>
      </c>
      <c r="H11" s="24">
        <v>-13811</v>
      </c>
      <c r="I11" s="24">
        <v>-24586</v>
      </c>
      <c r="J11" s="24">
        <v>12188</v>
      </c>
      <c r="K11" s="24">
        <v>20418</v>
      </c>
      <c r="L11" s="24">
        <v>3715</v>
      </c>
      <c r="M11" s="24">
        <v>6944</v>
      </c>
      <c r="N11" s="24">
        <v>6553</v>
      </c>
      <c r="O11" s="24">
        <v>8773</v>
      </c>
      <c r="P11" s="24">
        <v>-180.2</v>
      </c>
      <c r="Q11" s="24">
        <v>-547.29</v>
      </c>
      <c r="R11" s="24">
        <v>263.60000000000002</v>
      </c>
      <c r="S11" s="24">
        <v>391.23</v>
      </c>
      <c r="T11" s="24">
        <v>-165.63</v>
      </c>
      <c r="U11" s="24">
        <v>2495.5700000000002</v>
      </c>
      <c r="V11" s="24">
        <v>-7277</v>
      </c>
      <c r="W11" s="24">
        <v>-15182</v>
      </c>
      <c r="X11" s="24">
        <v>12824</v>
      </c>
      <c r="Y11" s="24">
        <v>20644</v>
      </c>
      <c r="Z11" s="24">
        <v>14262</v>
      </c>
      <c r="AA11" s="24">
        <v>23239</v>
      </c>
      <c r="AB11" s="24">
        <v>222</v>
      </c>
      <c r="AC11" s="24">
        <v>651</v>
      </c>
      <c r="AD11" s="24">
        <v>4454</v>
      </c>
      <c r="AE11" s="24">
        <v>7704</v>
      </c>
      <c r="AF11" s="24">
        <v>2529</v>
      </c>
      <c r="AG11" s="24">
        <v>4447</v>
      </c>
      <c r="AH11" s="24">
        <v>3489.8</v>
      </c>
      <c r="AI11" s="24">
        <v>5893</v>
      </c>
      <c r="AJ11" s="24">
        <v>22490.17</v>
      </c>
      <c r="AK11" s="24">
        <v>41247</v>
      </c>
      <c r="AL11" s="24">
        <v>-144</v>
      </c>
      <c r="AM11" s="24">
        <v>-73</v>
      </c>
      <c r="AN11" s="24">
        <v>1861</v>
      </c>
      <c r="AO11" s="24">
        <v>5466</v>
      </c>
      <c r="AP11" s="24">
        <v>1762</v>
      </c>
      <c r="AQ11" s="24">
        <v>3132</v>
      </c>
      <c r="AR11" s="24">
        <v>-8950</v>
      </c>
      <c r="AS11" s="24">
        <v>-10485</v>
      </c>
      <c r="AT11" s="24">
        <v>3076</v>
      </c>
      <c r="AU11" s="24">
        <v>4424</v>
      </c>
      <c r="AV11" s="24">
        <v>5239</v>
      </c>
      <c r="AW11" s="24">
        <v>5358</v>
      </c>
      <c r="AX11" s="24">
        <v>2916</v>
      </c>
      <c r="AY11" s="24">
        <v>4932</v>
      </c>
      <c r="AZ11" s="24">
        <v>39641</v>
      </c>
      <c r="BA11" s="24">
        <v>71837</v>
      </c>
      <c r="BB11" s="24">
        <v>14937</v>
      </c>
      <c r="BC11" s="24">
        <v>21265</v>
      </c>
      <c r="BD11" s="24">
        <v>61250</v>
      </c>
      <c r="BE11" s="24">
        <v>113980</v>
      </c>
      <c r="BF11" s="24">
        <v>26415</v>
      </c>
      <c r="BG11" s="24">
        <v>45327</v>
      </c>
      <c r="BH11" s="24">
        <v>27196</v>
      </c>
      <c r="BI11" s="24">
        <v>50639</v>
      </c>
      <c r="BJ11" s="24">
        <v>1234</v>
      </c>
      <c r="BK11" s="24">
        <v>3056</v>
      </c>
      <c r="BL11" s="37">
        <f t="shared" si="0"/>
        <v>235657.74</v>
      </c>
      <c r="BM11" s="37">
        <f t="shared" si="0"/>
        <v>421109.51</v>
      </c>
    </row>
    <row r="12" spans="1:65" ht="30" x14ac:dyDescent="0.25">
      <c r="A12" s="36" t="s">
        <v>28</v>
      </c>
      <c r="B12" s="24">
        <v>17033</v>
      </c>
      <c r="C12" s="24">
        <v>34024</v>
      </c>
      <c r="D12" s="24">
        <v>24003</v>
      </c>
      <c r="E12" s="24">
        <v>48934</v>
      </c>
      <c r="F12" s="24">
        <v>13334</v>
      </c>
      <c r="G12" s="24">
        <v>20025</v>
      </c>
      <c r="H12" s="24">
        <v>66884</v>
      </c>
      <c r="I12" s="24">
        <v>124604</v>
      </c>
      <c r="J12" s="24">
        <v>28578</v>
      </c>
      <c r="K12" s="24">
        <v>59673</v>
      </c>
      <c r="L12" s="24">
        <v>39999</v>
      </c>
      <c r="M12" s="24">
        <v>76758</v>
      </c>
      <c r="N12" s="24">
        <v>50572</v>
      </c>
      <c r="O12" s="24">
        <v>92063</v>
      </c>
      <c r="P12" s="24">
        <v>8554.24</v>
      </c>
      <c r="Q12" s="24">
        <v>15024.83</v>
      </c>
      <c r="R12" s="24">
        <v>5630.4</v>
      </c>
      <c r="S12" s="24">
        <v>9766.24</v>
      </c>
      <c r="T12" s="24">
        <v>23069.62</v>
      </c>
      <c r="U12" s="24">
        <v>50154.75</v>
      </c>
      <c r="V12" s="24">
        <v>64284</v>
      </c>
      <c r="W12" s="24">
        <v>117050</v>
      </c>
      <c r="X12" s="24">
        <v>106726</v>
      </c>
      <c r="Y12" s="24">
        <v>215069</v>
      </c>
      <c r="Z12" s="24">
        <v>26674</v>
      </c>
      <c r="AA12" s="24">
        <v>51229</v>
      </c>
      <c r="AB12" s="24">
        <v>8915</v>
      </c>
      <c r="AC12" s="24">
        <v>16741</v>
      </c>
      <c r="AD12" s="24">
        <v>13692</v>
      </c>
      <c r="AE12" s="24">
        <v>27050</v>
      </c>
      <c r="AF12" s="24">
        <v>22398</v>
      </c>
      <c r="AG12" s="24">
        <v>43206</v>
      </c>
      <c r="AH12" s="24">
        <v>10082.27</v>
      </c>
      <c r="AI12" s="24">
        <v>21012.9</v>
      </c>
      <c r="AJ12" s="24">
        <v>242322.19</v>
      </c>
      <c r="AK12" s="24">
        <v>297795.5</v>
      </c>
      <c r="AL12" s="24">
        <v>1119</v>
      </c>
      <c r="AM12" s="24">
        <v>2426</v>
      </c>
      <c r="AN12" s="24">
        <v>28603</v>
      </c>
      <c r="AO12" s="24">
        <v>50926</v>
      </c>
      <c r="AP12" s="24">
        <v>4381</v>
      </c>
      <c r="AQ12" s="24">
        <v>9057</v>
      </c>
      <c r="AR12" s="24">
        <v>56598</v>
      </c>
      <c r="AS12" s="24">
        <v>101949</v>
      </c>
      <c r="AT12" s="24">
        <v>19895</v>
      </c>
      <c r="AU12" s="24">
        <v>35993</v>
      </c>
      <c r="AV12" s="24">
        <v>36977</v>
      </c>
      <c r="AW12" s="24">
        <v>70233</v>
      </c>
      <c r="AX12" s="24">
        <v>14753</v>
      </c>
      <c r="AY12" s="24">
        <v>28821</v>
      </c>
      <c r="AZ12" s="24">
        <v>50542</v>
      </c>
      <c r="BA12" s="24">
        <v>93262</v>
      </c>
      <c r="BB12" s="24">
        <v>61058</v>
      </c>
      <c r="BC12" s="24">
        <v>125078</v>
      </c>
      <c r="BD12" s="24">
        <v>91064</v>
      </c>
      <c r="BE12" s="24">
        <v>190654</v>
      </c>
      <c r="BF12" s="24">
        <v>325074</v>
      </c>
      <c r="BG12" s="24">
        <v>324439</v>
      </c>
      <c r="BH12" s="24">
        <v>80849</v>
      </c>
      <c r="BI12" s="24">
        <v>162653</v>
      </c>
      <c r="BJ12" s="24">
        <v>12364</v>
      </c>
      <c r="BK12" s="24">
        <v>25149</v>
      </c>
      <c r="BL12" s="37">
        <f t="shared" si="0"/>
        <v>1556027.72</v>
      </c>
      <c r="BM12" s="37">
        <f t="shared" si="0"/>
        <v>2540820.2200000002</v>
      </c>
    </row>
    <row r="13" spans="1:65" x14ac:dyDescent="0.25">
      <c r="A13" s="36" t="s">
        <v>31</v>
      </c>
      <c r="B13" s="24">
        <f>B14-B12-B11-B10</f>
        <v>0</v>
      </c>
      <c r="C13" s="24">
        <f t="shared" ref="C13:BK13" si="2">C14-C12-C11-C10</f>
        <v>0</v>
      </c>
      <c r="D13" s="24">
        <f t="shared" si="2"/>
        <v>0</v>
      </c>
      <c r="E13" s="24">
        <f t="shared" si="2"/>
        <v>0</v>
      </c>
      <c r="F13" s="24">
        <f t="shared" si="2"/>
        <v>11601</v>
      </c>
      <c r="G13" s="24">
        <f t="shared" si="2"/>
        <v>-6301</v>
      </c>
      <c r="H13" s="24">
        <f t="shared" si="2"/>
        <v>72</v>
      </c>
      <c r="I13" s="24">
        <f t="shared" si="2"/>
        <v>131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  <c r="O13" s="24">
        <f t="shared" si="2"/>
        <v>0</v>
      </c>
      <c r="P13" s="24">
        <f t="shared" si="2"/>
        <v>-2342.0000000000036</v>
      </c>
      <c r="Q13" s="24">
        <f t="shared" si="2"/>
        <v>-9309</v>
      </c>
      <c r="R13" s="24">
        <f t="shared" si="2"/>
        <v>0</v>
      </c>
      <c r="S13" s="24">
        <f t="shared" si="2"/>
        <v>0</v>
      </c>
      <c r="T13" s="24">
        <f t="shared" si="2"/>
        <v>1.0000000002037268E-2</v>
      </c>
      <c r="U13" s="24">
        <f t="shared" si="2"/>
        <v>0</v>
      </c>
      <c r="V13" s="24">
        <f t="shared" si="2"/>
        <v>0</v>
      </c>
      <c r="W13" s="24">
        <f t="shared" si="2"/>
        <v>0</v>
      </c>
      <c r="X13" s="24">
        <f t="shared" si="2"/>
        <v>0</v>
      </c>
      <c r="Y13" s="24">
        <f t="shared" si="2"/>
        <v>0</v>
      </c>
      <c r="Z13" s="24">
        <f t="shared" si="2"/>
        <v>0</v>
      </c>
      <c r="AA13" s="24">
        <f t="shared" si="2"/>
        <v>0</v>
      </c>
      <c r="AB13" s="24">
        <f t="shared" si="2"/>
        <v>7</v>
      </c>
      <c r="AC13" s="24">
        <f t="shared" si="2"/>
        <v>12</v>
      </c>
      <c r="AD13" s="24">
        <f t="shared" si="2"/>
        <v>0</v>
      </c>
      <c r="AE13" s="24">
        <f t="shared" si="2"/>
        <v>0</v>
      </c>
      <c r="AF13" s="24">
        <f t="shared" si="2"/>
        <v>20</v>
      </c>
      <c r="AG13" s="24">
        <f t="shared" si="2"/>
        <v>35</v>
      </c>
      <c r="AH13" s="24">
        <f t="shared" si="2"/>
        <v>0</v>
      </c>
      <c r="AI13" s="24">
        <f t="shared" si="2"/>
        <v>0</v>
      </c>
      <c r="AJ13" s="24">
        <f t="shared" si="2"/>
        <v>1278.5299999999697</v>
      </c>
      <c r="AK13" s="24">
        <f t="shared" si="2"/>
        <v>2696.4799999999814</v>
      </c>
      <c r="AL13" s="24">
        <f t="shared" si="2"/>
        <v>1</v>
      </c>
      <c r="AM13" s="24">
        <f t="shared" si="2"/>
        <v>1</v>
      </c>
      <c r="AN13" s="24">
        <f t="shared" si="2"/>
        <v>0</v>
      </c>
      <c r="AO13" s="24">
        <f t="shared" si="2"/>
        <v>0</v>
      </c>
      <c r="AP13" s="24">
        <f t="shared" si="2"/>
        <v>0</v>
      </c>
      <c r="AQ13" s="24">
        <f t="shared" si="2"/>
        <v>0</v>
      </c>
      <c r="AR13" s="24">
        <f t="shared" si="2"/>
        <v>0</v>
      </c>
      <c r="AS13" s="24">
        <f t="shared" si="2"/>
        <v>0</v>
      </c>
      <c r="AT13" s="24">
        <f t="shared" si="2"/>
        <v>-1</v>
      </c>
      <c r="AU13" s="24">
        <f t="shared" si="2"/>
        <v>0</v>
      </c>
      <c r="AV13" s="24">
        <f t="shared" si="2"/>
        <v>0</v>
      </c>
      <c r="AW13" s="24">
        <f t="shared" si="2"/>
        <v>0</v>
      </c>
      <c r="AX13" s="24">
        <f t="shared" si="2"/>
        <v>-1</v>
      </c>
      <c r="AY13" s="24">
        <f t="shared" si="2"/>
        <v>0</v>
      </c>
      <c r="AZ13" s="24">
        <f t="shared" si="2"/>
        <v>1</v>
      </c>
      <c r="BA13" s="24">
        <f t="shared" si="2"/>
        <v>0</v>
      </c>
      <c r="BB13" s="24">
        <f t="shared" si="2"/>
        <v>0</v>
      </c>
      <c r="BC13" s="24">
        <f t="shared" si="2"/>
        <v>-1</v>
      </c>
      <c r="BD13" s="24">
        <f t="shared" si="2"/>
        <v>-1</v>
      </c>
      <c r="BE13" s="24">
        <f t="shared" si="2"/>
        <v>0</v>
      </c>
      <c r="BF13" s="24">
        <f t="shared" si="2"/>
        <v>19393</v>
      </c>
      <c r="BG13" s="24">
        <f t="shared" si="2"/>
        <v>21804</v>
      </c>
      <c r="BH13" s="24">
        <f t="shared" si="2"/>
        <v>0</v>
      </c>
      <c r="BI13" s="24">
        <f t="shared" si="2"/>
        <v>1</v>
      </c>
      <c r="BJ13" s="24">
        <f t="shared" si="2"/>
        <v>26</v>
      </c>
      <c r="BK13" s="24">
        <f t="shared" si="2"/>
        <v>46</v>
      </c>
      <c r="BL13" s="37">
        <f t="shared" si="0"/>
        <v>30054.539999999968</v>
      </c>
      <c r="BM13" s="37">
        <f t="shared" si="0"/>
        <v>9115.4799999999814</v>
      </c>
    </row>
    <row r="14" spans="1:65" s="4" customFormat="1" x14ac:dyDescent="0.25">
      <c r="A14" s="38" t="s">
        <v>29</v>
      </c>
      <c r="B14" s="26">
        <v>38052</v>
      </c>
      <c r="C14" s="26">
        <v>66108</v>
      </c>
      <c r="D14" s="26">
        <v>53625</v>
      </c>
      <c r="E14" s="26">
        <v>104237</v>
      </c>
      <c r="F14" s="26">
        <v>345235</v>
      </c>
      <c r="G14" s="26">
        <v>407015</v>
      </c>
      <c r="H14" s="26">
        <v>210898</v>
      </c>
      <c r="I14" s="26">
        <v>402225</v>
      </c>
      <c r="J14" s="26">
        <v>93184</v>
      </c>
      <c r="K14" s="26">
        <v>176324</v>
      </c>
      <c r="L14" s="26">
        <v>114798</v>
      </c>
      <c r="M14" s="26">
        <v>221156</v>
      </c>
      <c r="N14" s="26">
        <v>146329</v>
      </c>
      <c r="O14" s="26">
        <v>274912</v>
      </c>
      <c r="P14" s="26">
        <v>-19945.310000000001</v>
      </c>
      <c r="Q14" s="26">
        <v>-25564.06</v>
      </c>
      <c r="R14" s="26">
        <v>12124.25</v>
      </c>
      <c r="S14" s="26">
        <v>22776.15</v>
      </c>
      <c r="T14" s="26">
        <v>70696.639999999999</v>
      </c>
      <c r="U14" s="26">
        <v>139216.57</v>
      </c>
      <c r="V14" s="26">
        <v>223033</v>
      </c>
      <c r="W14" s="26">
        <v>402356</v>
      </c>
      <c r="X14" s="26">
        <v>398883</v>
      </c>
      <c r="Y14" s="26">
        <v>765033</v>
      </c>
      <c r="Z14" s="26">
        <v>172484</v>
      </c>
      <c r="AA14" s="26">
        <v>341016</v>
      </c>
      <c r="AB14" s="26">
        <v>21154</v>
      </c>
      <c r="AC14" s="26">
        <v>39586</v>
      </c>
      <c r="AD14" s="26">
        <v>44991</v>
      </c>
      <c r="AE14" s="26">
        <v>85757</v>
      </c>
      <c r="AF14" s="26">
        <v>49984</v>
      </c>
      <c r="AG14" s="26">
        <v>93889</v>
      </c>
      <c r="AH14" s="26">
        <v>31804.7</v>
      </c>
      <c r="AI14" s="26">
        <v>59971.94</v>
      </c>
      <c r="AJ14" s="26">
        <v>582030.57999999996</v>
      </c>
      <c r="AK14" s="26">
        <v>933109.7</v>
      </c>
      <c r="AL14" s="26">
        <v>2922</v>
      </c>
      <c r="AM14" s="26">
        <v>6254</v>
      </c>
      <c r="AN14" s="26">
        <v>66534</v>
      </c>
      <c r="AO14" s="26">
        <v>121880</v>
      </c>
      <c r="AP14" s="26">
        <v>12973</v>
      </c>
      <c r="AQ14" s="26">
        <v>26114</v>
      </c>
      <c r="AR14" s="26">
        <v>176415</v>
      </c>
      <c r="AS14" s="26">
        <v>319794</v>
      </c>
      <c r="AT14" s="26">
        <v>71798</v>
      </c>
      <c r="AU14" s="26">
        <v>136845</v>
      </c>
      <c r="AV14" s="26">
        <v>143121</v>
      </c>
      <c r="AW14" s="26">
        <v>245511</v>
      </c>
      <c r="AX14" s="26">
        <v>50453</v>
      </c>
      <c r="AY14" s="26">
        <v>98177</v>
      </c>
      <c r="AZ14" s="26">
        <v>280787</v>
      </c>
      <c r="BA14" s="26">
        <v>533814</v>
      </c>
      <c r="BB14" s="26">
        <v>236721</v>
      </c>
      <c r="BC14" s="26">
        <v>451844</v>
      </c>
      <c r="BD14" s="26">
        <v>881539</v>
      </c>
      <c r="BE14" s="26">
        <v>1709257</v>
      </c>
      <c r="BF14" s="26">
        <v>803385</v>
      </c>
      <c r="BG14" s="26">
        <v>1150501</v>
      </c>
      <c r="BH14" s="26">
        <v>478801</v>
      </c>
      <c r="BI14" s="26">
        <v>914151</v>
      </c>
      <c r="BJ14" s="26">
        <v>53422</v>
      </c>
      <c r="BK14" s="26">
        <v>97108</v>
      </c>
      <c r="BL14" s="39">
        <f t="shared" si="0"/>
        <v>5848231.8599999994</v>
      </c>
      <c r="BM14" s="39">
        <f t="shared" si="0"/>
        <v>10320374.300000001</v>
      </c>
    </row>
    <row r="15" spans="1:65" s="4" customFormat="1" x14ac:dyDescent="0.25">
      <c r="A15" s="38" t="s">
        <v>30</v>
      </c>
      <c r="B15" s="26">
        <f>B9-B14</f>
        <v>-16035</v>
      </c>
      <c r="C15" s="26">
        <f t="shared" ref="C15:BK15" si="3">C9-C14</f>
        <v>-27285</v>
      </c>
      <c r="D15" s="26">
        <f t="shared" si="3"/>
        <v>-8179</v>
      </c>
      <c r="E15" s="26">
        <f t="shared" si="3"/>
        <v>-15470</v>
      </c>
      <c r="F15" s="26">
        <f t="shared" si="3"/>
        <v>17881</v>
      </c>
      <c r="G15" s="26">
        <f t="shared" si="3"/>
        <v>42603</v>
      </c>
      <c r="H15" s="26">
        <f t="shared" si="3"/>
        <v>33099</v>
      </c>
      <c r="I15" s="26">
        <f t="shared" si="3"/>
        <v>73340</v>
      </c>
      <c r="J15" s="26">
        <f t="shared" si="3"/>
        <v>8679</v>
      </c>
      <c r="K15" s="26">
        <f t="shared" si="3"/>
        <v>7273</v>
      </c>
      <c r="L15" s="26">
        <f t="shared" si="3"/>
        <v>13238</v>
      </c>
      <c r="M15" s="26">
        <f t="shared" si="3"/>
        <v>23530</v>
      </c>
      <c r="N15" s="26">
        <f t="shared" si="3"/>
        <v>-6098</v>
      </c>
      <c r="O15" s="26">
        <f t="shared" si="3"/>
        <v>-6358</v>
      </c>
      <c r="P15" s="26">
        <f t="shared" si="3"/>
        <v>56438.3</v>
      </c>
      <c r="Q15" s="26">
        <f t="shared" si="3"/>
        <v>92329.77</v>
      </c>
      <c r="R15" s="26">
        <f t="shared" si="3"/>
        <v>-3843.4699999999993</v>
      </c>
      <c r="S15" s="26">
        <f t="shared" si="3"/>
        <v>-7348.8200000000015</v>
      </c>
      <c r="T15" s="26">
        <f t="shared" si="3"/>
        <v>4688.5</v>
      </c>
      <c r="U15" s="26">
        <f t="shared" si="3"/>
        <v>6387.2099999999919</v>
      </c>
      <c r="V15" s="26">
        <f t="shared" si="3"/>
        <v>17690</v>
      </c>
      <c r="W15" s="26">
        <f t="shared" si="3"/>
        <v>32261</v>
      </c>
      <c r="X15" s="26">
        <f t="shared" si="3"/>
        <v>51021</v>
      </c>
      <c r="Y15" s="26">
        <f t="shared" si="3"/>
        <v>82699</v>
      </c>
      <c r="Z15" s="26">
        <f t="shared" si="3"/>
        <v>-760</v>
      </c>
      <c r="AA15" s="26">
        <f t="shared" si="3"/>
        <v>-4690</v>
      </c>
      <c r="AB15" s="26">
        <f t="shared" si="3"/>
        <v>-2186</v>
      </c>
      <c r="AC15" s="26">
        <f t="shared" si="3"/>
        <v>-4392</v>
      </c>
      <c r="AD15" s="26">
        <f t="shared" si="3"/>
        <v>-2928</v>
      </c>
      <c r="AE15" s="26">
        <f t="shared" si="3"/>
        <v>-5194</v>
      </c>
      <c r="AF15" s="26">
        <f t="shared" si="3"/>
        <v>-1564</v>
      </c>
      <c r="AG15" s="26">
        <f t="shared" si="3"/>
        <v>-5514</v>
      </c>
      <c r="AH15" s="26">
        <f t="shared" si="3"/>
        <v>-4964.8899999999994</v>
      </c>
      <c r="AI15" s="26">
        <f t="shared" si="3"/>
        <v>-8367.1300000000047</v>
      </c>
      <c r="AJ15" s="26">
        <f t="shared" si="3"/>
        <v>-144033.62999999995</v>
      </c>
      <c r="AK15" s="26">
        <f t="shared" si="3"/>
        <v>-157711.41999999993</v>
      </c>
      <c r="AL15" s="26">
        <f t="shared" si="3"/>
        <v>348</v>
      </c>
      <c r="AM15" s="26">
        <f t="shared" si="3"/>
        <v>302</v>
      </c>
      <c r="AN15" s="26">
        <f t="shared" si="3"/>
        <v>7601</v>
      </c>
      <c r="AO15" s="26">
        <f t="shared" si="3"/>
        <v>12018</v>
      </c>
      <c r="AP15" s="26">
        <f t="shared" si="3"/>
        <v>-1748</v>
      </c>
      <c r="AQ15" s="26">
        <f t="shared" si="3"/>
        <v>-3602</v>
      </c>
      <c r="AR15" s="26">
        <f t="shared" si="3"/>
        <v>20217</v>
      </c>
      <c r="AS15" s="26">
        <f t="shared" si="3"/>
        <v>32239</v>
      </c>
      <c r="AT15" s="26">
        <f t="shared" si="3"/>
        <v>-1722</v>
      </c>
      <c r="AU15" s="26">
        <f t="shared" si="3"/>
        <v>1642</v>
      </c>
      <c r="AV15" s="26">
        <f t="shared" si="3"/>
        <v>-7670</v>
      </c>
      <c r="AW15" s="26">
        <f t="shared" si="3"/>
        <v>4471</v>
      </c>
      <c r="AX15" s="26">
        <f t="shared" si="3"/>
        <v>8487</v>
      </c>
      <c r="AY15" s="26">
        <f t="shared" si="3"/>
        <v>16356</v>
      </c>
      <c r="AZ15" s="26">
        <f t="shared" si="3"/>
        <v>11018</v>
      </c>
      <c r="BA15" s="26">
        <f t="shared" si="3"/>
        <v>38893</v>
      </c>
      <c r="BB15" s="26">
        <f t="shared" si="3"/>
        <v>6702</v>
      </c>
      <c r="BC15" s="26">
        <f t="shared" si="3"/>
        <v>33915</v>
      </c>
      <c r="BD15" s="26">
        <f t="shared" si="3"/>
        <v>151569</v>
      </c>
      <c r="BE15" s="26">
        <f t="shared" si="3"/>
        <v>138237</v>
      </c>
      <c r="BF15" s="26">
        <f t="shared" si="3"/>
        <v>-331244</v>
      </c>
      <c r="BG15" s="26">
        <f t="shared" si="3"/>
        <v>-339657</v>
      </c>
      <c r="BH15" s="26">
        <f t="shared" si="3"/>
        <v>-37215</v>
      </c>
      <c r="BI15" s="26">
        <f t="shared" si="3"/>
        <v>-75691</v>
      </c>
      <c r="BJ15" s="26">
        <f t="shared" si="3"/>
        <v>4425</v>
      </c>
      <c r="BK15" s="26">
        <f t="shared" si="3"/>
        <v>9020</v>
      </c>
      <c r="BL15" s="39">
        <f t="shared" si="0"/>
        <v>-157089.18999999994</v>
      </c>
      <c r="BM15" s="39">
        <f t="shared" si="0"/>
        <v>-13764.389999999898</v>
      </c>
    </row>
  </sheetData>
  <mergeCells count="32">
    <mergeCell ref="BD3:BE3"/>
    <mergeCell ref="BL3:BM3"/>
    <mergeCell ref="BJ3:BK3"/>
    <mergeCell ref="BH3:BI3"/>
    <mergeCell ref="BF3:BG3"/>
    <mergeCell ref="AN3:AO3"/>
    <mergeCell ref="AJ3:AK3"/>
    <mergeCell ref="AH3:AI3"/>
    <mergeCell ref="AF3:AG3"/>
    <mergeCell ref="AL3:AM3"/>
    <mergeCell ref="BB3:BC3"/>
    <mergeCell ref="AZ3:BA3"/>
    <mergeCell ref="AX3:AY3"/>
    <mergeCell ref="AV3:AW3"/>
    <mergeCell ref="AP3:AQ3"/>
    <mergeCell ref="AR3:AS3"/>
    <mergeCell ref="AT3:AU3"/>
    <mergeCell ref="H3:I3"/>
    <mergeCell ref="F3:G3"/>
    <mergeCell ref="D3:E3"/>
    <mergeCell ref="B3:C3"/>
    <mergeCell ref="AD3:AE3"/>
    <mergeCell ref="Z3:AA3"/>
    <mergeCell ref="X3:Y3"/>
    <mergeCell ref="V3:W3"/>
    <mergeCell ref="P3:Q3"/>
    <mergeCell ref="AB3:AC3"/>
    <mergeCell ref="L3:M3"/>
    <mergeCell ref="N3:O3"/>
    <mergeCell ref="J3:K3"/>
    <mergeCell ref="T3:U3"/>
    <mergeCell ref="R3:S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3" customWidth="1"/>
    <col min="2" max="94" width="14.28515625" style="3" customWidth="1"/>
    <col min="95" max="16384" width="9.140625" style="3"/>
  </cols>
  <sheetData>
    <row r="1" spans="1:94" ht="18.75" x14ac:dyDescent="0.3">
      <c r="A1" s="5" t="s">
        <v>307</v>
      </c>
    </row>
    <row r="2" spans="1:94" x14ac:dyDescent="0.25">
      <c r="A2" s="2" t="s">
        <v>98</v>
      </c>
    </row>
    <row r="3" spans="1:94" x14ac:dyDescent="0.25">
      <c r="A3" s="98" t="s">
        <v>0</v>
      </c>
      <c r="B3" s="99" t="s">
        <v>1</v>
      </c>
      <c r="C3" s="99"/>
      <c r="D3" s="99"/>
      <c r="E3" s="99" t="s">
        <v>232</v>
      </c>
      <c r="F3" s="99"/>
      <c r="G3" s="99"/>
      <c r="H3" s="99" t="s">
        <v>2</v>
      </c>
      <c r="I3" s="99"/>
      <c r="J3" s="99"/>
      <c r="K3" s="99" t="s">
        <v>3</v>
      </c>
      <c r="L3" s="99"/>
      <c r="M3" s="99"/>
      <c r="N3" s="99" t="s">
        <v>241</v>
      </c>
      <c r="O3" s="99"/>
      <c r="P3" s="99"/>
      <c r="Q3" s="94" t="s">
        <v>233</v>
      </c>
      <c r="R3" s="100"/>
      <c r="S3" s="95"/>
      <c r="T3" s="94" t="s">
        <v>5</v>
      </c>
      <c r="U3" s="100"/>
      <c r="V3" s="95"/>
      <c r="W3" s="94" t="s">
        <v>4</v>
      </c>
      <c r="X3" s="100"/>
      <c r="Y3" s="95"/>
      <c r="Z3" s="94" t="s">
        <v>6</v>
      </c>
      <c r="AA3" s="100"/>
      <c r="AB3" s="95"/>
      <c r="AC3" s="94" t="s">
        <v>246</v>
      </c>
      <c r="AD3" s="100"/>
      <c r="AE3" s="95"/>
      <c r="AF3" s="94" t="s">
        <v>7</v>
      </c>
      <c r="AG3" s="100"/>
      <c r="AH3" s="95"/>
      <c r="AI3" s="94" t="s">
        <v>8</v>
      </c>
      <c r="AJ3" s="100"/>
      <c r="AK3" s="95"/>
      <c r="AL3" s="94" t="s">
        <v>9</v>
      </c>
      <c r="AM3" s="100"/>
      <c r="AN3" s="95"/>
      <c r="AO3" s="94" t="s">
        <v>240</v>
      </c>
      <c r="AP3" s="100"/>
      <c r="AQ3" s="95"/>
      <c r="AR3" s="94" t="s">
        <v>10</v>
      </c>
      <c r="AS3" s="100"/>
      <c r="AT3" s="95"/>
      <c r="AU3" s="94" t="s">
        <v>11</v>
      </c>
      <c r="AV3" s="100"/>
      <c r="AW3" s="95"/>
      <c r="AX3" s="94" t="s">
        <v>234</v>
      </c>
      <c r="AY3" s="100"/>
      <c r="AZ3" s="95"/>
      <c r="BA3" s="94" t="s">
        <v>245</v>
      </c>
      <c r="BB3" s="100"/>
      <c r="BC3" s="95"/>
      <c r="BD3" s="94" t="s">
        <v>12</v>
      </c>
      <c r="BE3" s="100"/>
      <c r="BF3" s="95"/>
      <c r="BG3" s="94" t="s">
        <v>235</v>
      </c>
      <c r="BH3" s="100"/>
      <c r="BI3" s="95"/>
      <c r="BJ3" s="94" t="s">
        <v>236</v>
      </c>
      <c r="BK3" s="100"/>
      <c r="BL3" s="95"/>
      <c r="BM3" s="94" t="s">
        <v>239</v>
      </c>
      <c r="BN3" s="100"/>
      <c r="BO3" s="95"/>
      <c r="BP3" s="99" t="s">
        <v>13</v>
      </c>
      <c r="BQ3" s="99"/>
      <c r="BR3" s="99"/>
      <c r="BS3" s="99" t="s">
        <v>14</v>
      </c>
      <c r="BT3" s="99"/>
      <c r="BU3" s="99"/>
      <c r="BV3" s="99" t="s">
        <v>15</v>
      </c>
      <c r="BW3" s="99"/>
      <c r="BX3" s="99"/>
      <c r="BY3" s="99" t="s">
        <v>16</v>
      </c>
      <c r="BZ3" s="99"/>
      <c r="CA3" s="99"/>
      <c r="CB3" s="99" t="s">
        <v>17</v>
      </c>
      <c r="CC3" s="99"/>
      <c r="CD3" s="99"/>
      <c r="CE3" s="99" t="s">
        <v>237</v>
      </c>
      <c r="CF3" s="99"/>
      <c r="CG3" s="99"/>
      <c r="CH3" s="99" t="s">
        <v>238</v>
      </c>
      <c r="CI3" s="99"/>
      <c r="CJ3" s="99"/>
      <c r="CK3" s="99" t="s">
        <v>18</v>
      </c>
      <c r="CL3" s="99"/>
      <c r="CM3" s="99"/>
      <c r="CN3" s="99" t="s">
        <v>19</v>
      </c>
      <c r="CO3" s="99"/>
      <c r="CP3" s="99"/>
    </row>
    <row r="4" spans="1:94" x14ac:dyDescent="0.25">
      <c r="A4" s="98"/>
      <c r="B4" s="30" t="s">
        <v>152</v>
      </c>
      <c r="C4" s="30" t="s">
        <v>153</v>
      </c>
      <c r="D4" s="30" t="s">
        <v>139</v>
      </c>
      <c r="E4" s="30" t="s">
        <v>152</v>
      </c>
      <c r="F4" s="30" t="s">
        <v>153</v>
      </c>
      <c r="G4" s="30" t="s">
        <v>139</v>
      </c>
      <c r="H4" s="30" t="s">
        <v>152</v>
      </c>
      <c r="I4" s="30" t="s">
        <v>153</v>
      </c>
      <c r="J4" s="30" t="s">
        <v>139</v>
      </c>
      <c r="K4" s="30" t="s">
        <v>152</v>
      </c>
      <c r="L4" s="30" t="s">
        <v>153</v>
      </c>
      <c r="M4" s="30" t="s">
        <v>139</v>
      </c>
      <c r="N4" s="30" t="s">
        <v>152</v>
      </c>
      <c r="O4" s="30" t="s">
        <v>153</v>
      </c>
      <c r="P4" s="30" t="s">
        <v>139</v>
      </c>
      <c r="Q4" s="30" t="s">
        <v>152</v>
      </c>
      <c r="R4" s="30" t="s">
        <v>153</v>
      </c>
      <c r="S4" s="30" t="s">
        <v>139</v>
      </c>
      <c r="T4" s="30" t="s">
        <v>152</v>
      </c>
      <c r="U4" s="30" t="s">
        <v>153</v>
      </c>
      <c r="V4" s="30" t="s">
        <v>139</v>
      </c>
      <c r="W4" s="30" t="s">
        <v>152</v>
      </c>
      <c r="X4" s="30" t="s">
        <v>153</v>
      </c>
      <c r="Y4" s="30" t="s">
        <v>139</v>
      </c>
      <c r="Z4" s="30" t="s">
        <v>152</v>
      </c>
      <c r="AA4" s="30" t="s">
        <v>153</v>
      </c>
      <c r="AB4" s="30" t="s">
        <v>139</v>
      </c>
      <c r="AC4" s="30" t="s">
        <v>152</v>
      </c>
      <c r="AD4" s="30" t="s">
        <v>153</v>
      </c>
      <c r="AE4" s="30" t="s">
        <v>139</v>
      </c>
      <c r="AF4" s="30" t="s">
        <v>152</v>
      </c>
      <c r="AG4" s="30" t="s">
        <v>153</v>
      </c>
      <c r="AH4" s="30" t="s">
        <v>139</v>
      </c>
      <c r="AI4" s="30" t="s">
        <v>152</v>
      </c>
      <c r="AJ4" s="30" t="s">
        <v>153</v>
      </c>
      <c r="AK4" s="30" t="s">
        <v>139</v>
      </c>
      <c r="AL4" s="30" t="s">
        <v>152</v>
      </c>
      <c r="AM4" s="30" t="s">
        <v>153</v>
      </c>
      <c r="AN4" s="30" t="s">
        <v>139</v>
      </c>
      <c r="AO4" s="30" t="s">
        <v>152</v>
      </c>
      <c r="AP4" s="30" t="s">
        <v>153</v>
      </c>
      <c r="AQ4" s="30" t="s">
        <v>139</v>
      </c>
      <c r="AR4" s="30" t="s">
        <v>152</v>
      </c>
      <c r="AS4" s="30" t="s">
        <v>153</v>
      </c>
      <c r="AT4" s="30" t="s">
        <v>139</v>
      </c>
      <c r="AU4" s="30" t="s">
        <v>152</v>
      </c>
      <c r="AV4" s="30" t="s">
        <v>153</v>
      </c>
      <c r="AW4" s="30" t="s">
        <v>139</v>
      </c>
      <c r="AX4" s="30" t="s">
        <v>152</v>
      </c>
      <c r="AY4" s="30" t="s">
        <v>153</v>
      </c>
      <c r="AZ4" s="30" t="s">
        <v>139</v>
      </c>
      <c r="BA4" s="30" t="s">
        <v>152</v>
      </c>
      <c r="BB4" s="30" t="s">
        <v>153</v>
      </c>
      <c r="BC4" s="30" t="s">
        <v>139</v>
      </c>
      <c r="BD4" s="30" t="s">
        <v>152</v>
      </c>
      <c r="BE4" s="30" t="s">
        <v>153</v>
      </c>
      <c r="BF4" s="30" t="s">
        <v>139</v>
      </c>
      <c r="BG4" s="30" t="s">
        <v>152</v>
      </c>
      <c r="BH4" s="30" t="s">
        <v>153</v>
      </c>
      <c r="BI4" s="30" t="s">
        <v>139</v>
      </c>
      <c r="BJ4" s="30" t="s">
        <v>152</v>
      </c>
      <c r="BK4" s="30" t="s">
        <v>153</v>
      </c>
      <c r="BL4" s="30" t="s">
        <v>139</v>
      </c>
      <c r="BM4" s="30" t="s">
        <v>152</v>
      </c>
      <c r="BN4" s="30" t="s">
        <v>153</v>
      </c>
      <c r="BO4" s="30" t="s">
        <v>139</v>
      </c>
      <c r="BP4" s="30" t="s">
        <v>152</v>
      </c>
      <c r="BQ4" s="30" t="s">
        <v>153</v>
      </c>
      <c r="BR4" s="30" t="s">
        <v>139</v>
      </c>
      <c r="BS4" s="30" t="s">
        <v>152</v>
      </c>
      <c r="BT4" s="30" t="s">
        <v>153</v>
      </c>
      <c r="BU4" s="30" t="s">
        <v>139</v>
      </c>
      <c r="BV4" s="30" t="s">
        <v>152</v>
      </c>
      <c r="BW4" s="30" t="s">
        <v>153</v>
      </c>
      <c r="BX4" s="30" t="s">
        <v>139</v>
      </c>
      <c r="BY4" s="30" t="s">
        <v>152</v>
      </c>
      <c r="BZ4" s="30" t="s">
        <v>153</v>
      </c>
      <c r="CA4" s="30" t="s">
        <v>139</v>
      </c>
      <c r="CB4" s="30" t="s">
        <v>152</v>
      </c>
      <c r="CC4" s="30" t="s">
        <v>153</v>
      </c>
      <c r="CD4" s="30" t="s">
        <v>139</v>
      </c>
      <c r="CE4" s="30" t="s">
        <v>152</v>
      </c>
      <c r="CF4" s="30" t="s">
        <v>153</v>
      </c>
      <c r="CG4" s="30" t="s">
        <v>139</v>
      </c>
      <c r="CH4" s="30" t="s">
        <v>152</v>
      </c>
      <c r="CI4" s="30" t="s">
        <v>153</v>
      </c>
      <c r="CJ4" s="30" t="s">
        <v>139</v>
      </c>
      <c r="CK4" s="30" t="s">
        <v>152</v>
      </c>
      <c r="CL4" s="30" t="s">
        <v>153</v>
      </c>
      <c r="CM4" s="30" t="s">
        <v>139</v>
      </c>
      <c r="CN4" s="30" t="s">
        <v>152</v>
      </c>
      <c r="CO4" s="30" t="s">
        <v>153</v>
      </c>
      <c r="CP4" s="30" t="s">
        <v>139</v>
      </c>
    </row>
    <row r="5" spans="1:94" x14ac:dyDescent="0.25">
      <c r="A5" s="38" t="s">
        <v>154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</row>
    <row r="6" spans="1:94" ht="30" x14ac:dyDescent="0.25">
      <c r="A6" s="36" t="s">
        <v>155</v>
      </c>
      <c r="B6" s="24">
        <v>41361</v>
      </c>
      <c r="C6" s="24">
        <v>38096</v>
      </c>
      <c r="D6" s="24">
        <f t="shared" ref="D6:D19" si="0">B6+C6</f>
        <v>79457</v>
      </c>
      <c r="E6" s="24">
        <v>17680</v>
      </c>
      <c r="F6" s="24">
        <v>64056</v>
      </c>
      <c r="G6" s="24">
        <f>F6+E6</f>
        <v>81736</v>
      </c>
      <c r="H6" s="24">
        <v>64967</v>
      </c>
      <c r="I6" s="24">
        <v>242524</v>
      </c>
      <c r="J6" s="24">
        <f t="shared" ref="J6:J19" si="1">I6+H6</f>
        <v>307491</v>
      </c>
      <c r="K6" s="24">
        <v>570767</v>
      </c>
      <c r="L6" s="24">
        <v>1010483</v>
      </c>
      <c r="M6" s="24">
        <f>L6+K6</f>
        <v>1581250</v>
      </c>
      <c r="N6" s="24">
        <v>42024</v>
      </c>
      <c r="O6" s="24">
        <v>76568</v>
      </c>
      <c r="P6" s="24">
        <f>O6+N6</f>
        <v>118592</v>
      </c>
      <c r="Q6" s="24">
        <v>107759</v>
      </c>
      <c r="R6" s="24">
        <v>784660</v>
      </c>
      <c r="S6" s="24">
        <f>R6+Q6</f>
        <v>892419</v>
      </c>
      <c r="T6" s="24">
        <v>286536.02</v>
      </c>
      <c r="U6" s="24">
        <v>286536.02</v>
      </c>
      <c r="V6" s="24">
        <f>U6+T6</f>
        <v>573072.04</v>
      </c>
      <c r="W6" s="24">
        <v>258</v>
      </c>
      <c r="X6" s="24">
        <v>11752</v>
      </c>
      <c r="Y6" s="24">
        <f>X6+W6</f>
        <v>12010</v>
      </c>
      <c r="Z6" s="24">
        <v>67778.559999999998</v>
      </c>
      <c r="AA6" s="24">
        <v>237800.59</v>
      </c>
      <c r="AB6" s="24">
        <f>AA6+Z6</f>
        <v>305579.15000000002</v>
      </c>
      <c r="AC6" s="24">
        <v>89093</v>
      </c>
      <c r="AD6" s="24">
        <v>636114</v>
      </c>
      <c r="AE6" s="24">
        <f>AD6+AC6</f>
        <v>725207</v>
      </c>
      <c r="AF6" s="24">
        <v>90295</v>
      </c>
      <c r="AG6" s="24">
        <v>351804</v>
      </c>
      <c r="AH6" s="24">
        <f>AG6+AF6</f>
        <v>442099</v>
      </c>
      <c r="AI6" s="24">
        <v>399943</v>
      </c>
      <c r="AJ6" s="24">
        <v>1393144</v>
      </c>
      <c r="AK6" s="24">
        <f>AJ6+AI6</f>
        <v>1793087</v>
      </c>
      <c r="AL6" s="24">
        <v>157956</v>
      </c>
      <c r="AM6" s="24">
        <v>539558</v>
      </c>
      <c r="AN6" s="24">
        <f>AM6+AL6</f>
        <v>697514</v>
      </c>
      <c r="AO6" s="24">
        <v>26033</v>
      </c>
      <c r="AP6" s="24">
        <v>90651</v>
      </c>
      <c r="AQ6" s="24">
        <f>AO6+AP6</f>
        <v>116684</v>
      </c>
      <c r="AR6" s="24">
        <v>18256</v>
      </c>
      <c r="AS6" s="24">
        <v>56049</v>
      </c>
      <c r="AT6" s="24">
        <f>AS6+AR6</f>
        <v>74305</v>
      </c>
      <c r="AU6" s="24">
        <v>31523</v>
      </c>
      <c r="AV6" s="24">
        <v>155549</v>
      </c>
      <c r="AW6" s="24">
        <f>AV6+AU6</f>
        <v>187072</v>
      </c>
      <c r="AX6" s="24">
        <v>9265.2099999999991</v>
      </c>
      <c r="AY6" s="24">
        <v>18118.310000000001</v>
      </c>
      <c r="AZ6" s="24">
        <f>AY6+AX6</f>
        <v>27383.52</v>
      </c>
      <c r="BA6" s="24">
        <v>22397</v>
      </c>
      <c r="BB6" s="24">
        <v>37032</v>
      </c>
      <c r="BC6" s="24">
        <f>BB6+BA6</f>
        <v>59429</v>
      </c>
      <c r="BD6" s="24">
        <v>44959.77</v>
      </c>
      <c r="BE6" s="24">
        <v>1133492.55</v>
      </c>
      <c r="BF6" s="24">
        <f>BE6+BD6</f>
        <v>1178452.32</v>
      </c>
      <c r="BG6" s="24"/>
      <c r="BH6" s="24">
        <v>5015</v>
      </c>
      <c r="BI6" s="24">
        <f>BH6+BG6</f>
        <v>5015</v>
      </c>
      <c r="BJ6" s="24">
        <v>6686</v>
      </c>
      <c r="BK6" s="24">
        <v>29250</v>
      </c>
      <c r="BL6" s="24">
        <f t="shared" ref="BL6:BL19" si="2">BK6+BJ6</f>
        <v>35936</v>
      </c>
      <c r="BM6" s="24">
        <v>77079</v>
      </c>
      <c r="BN6" s="24">
        <v>394709</v>
      </c>
      <c r="BO6" s="24">
        <f>BN6+BM6</f>
        <v>471788</v>
      </c>
      <c r="BP6" s="24">
        <v>47897</v>
      </c>
      <c r="BQ6" s="24">
        <v>245649</v>
      </c>
      <c r="BR6" s="24">
        <f>BQ6+BP6</f>
        <v>293546</v>
      </c>
      <c r="BS6" s="24">
        <v>65183</v>
      </c>
      <c r="BT6" s="24">
        <v>303031</v>
      </c>
      <c r="BU6" s="24">
        <f>BT6+BS6</f>
        <v>368214</v>
      </c>
      <c r="BV6" s="24">
        <v>76546.47</v>
      </c>
      <c r="BW6" s="24">
        <v>286300</v>
      </c>
      <c r="BX6" s="24">
        <f t="shared" ref="BX6:BX19" si="3">BW6+BV6</f>
        <v>362846.47</v>
      </c>
      <c r="BY6" s="24">
        <v>184366</v>
      </c>
      <c r="BZ6" s="24">
        <v>272806</v>
      </c>
      <c r="CA6" s="24">
        <f>BZ6+BY6</f>
        <v>457172</v>
      </c>
      <c r="CB6" s="24">
        <v>152037</v>
      </c>
      <c r="CC6" s="24">
        <v>706778</v>
      </c>
      <c r="CD6" s="24">
        <f>CC6+CB6</f>
        <v>858815</v>
      </c>
      <c r="CE6" s="24"/>
      <c r="CF6" s="24"/>
      <c r="CG6" s="24">
        <f>CF6+CE6</f>
        <v>0</v>
      </c>
      <c r="CH6" s="24">
        <v>-178408</v>
      </c>
      <c r="CI6" s="24">
        <v>1457317</v>
      </c>
      <c r="CJ6" s="24">
        <f t="shared" ref="CJ6:CJ19" si="4">CI6+CH6</f>
        <v>1278909</v>
      </c>
      <c r="CK6" s="24">
        <v>71891.78</v>
      </c>
      <c r="CL6" s="24">
        <v>1607822.64</v>
      </c>
      <c r="CM6" s="24">
        <f>CL6+CK6</f>
        <v>1679714.42</v>
      </c>
      <c r="CN6" s="24">
        <v>34237</v>
      </c>
      <c r="CO6" s="24">
        <v>111412</v>
      </c>
      <c r="CP6" s="24">
        <f t="shared" ref="CP6:CP19" si="5">CO6+CN6</f>
        <v>145649</v>
      </c>
    </row>
    <row r="7" spans="1:94" ht="15" customHeight="1" x14ac:dyDescent="0.25">
      <c r="A7" s="36" t="s">
        <v>156</v>
      </c>
      <c r="B7" s="24"/>
      <c r="C7" s="24"/>
      <c r="D7" s="24">
        <f t="shared" si="0"/>
        <v>0</v>
      </c>
      <c r="E7" s="24">
        <v>15094</v>
      </c>
      <c r="F7" s="24">
        <v>59959</v>
      </c>
      <c r="G7" s="24">
        <f t="shared" ref="G7:G19" si="6">F7+E7</f>
        <v>75053</v>
      </c>
      <c r="H7" s="24">
        <v>97741</v>
      </c>
      <c r="I7" s="24">
        <v>364866</v>
      </c>
      <c r="J7" s="24">
        <f t="shared" si="1"/>
        <v>462607</v>
      </c>
      <c r="K7" s="24">
        <v>824</v>
      </c>
      <c r="L7" s="24">
        <v>496</v>
      </c>
      <c r="M7" s="24">
        <f t="shared" ref="M7:M19" si="7">L7+K7</f>
        <v>1320</v>
      </c>
      <c r="N7" s="24">
        <v>11228</v>
      </c>
      <c r="O7" s="24">
        <v>9216</v>
      </c>
      <c r="P7" s="24">
        <f t="shared" ref="P7:P19" si="8">O7+N7</f>
        <v>20444</v>
      </c>
      <c r="Q7" s="24"/>
      <c r="R7" s="24"/>
      <c r="S7" s="24">
        <f t="shared" ref="S7:S19" si="9">R7+Q7</f>
        <v>0</v>
      </c>
      <c r="T7" s="24">
        <v>23306.47</v>
      </c>
      <c r="U7" s="24">
        <v>23306.47</v>
      </c>
      <c r="V7" s="24">
        <f t="shared" ref="V7:V19" si="10">U7+T7</f>
        <v>46612.94</v>
      </c>
      <c r="W7" s="24">
        <v>460</v>
      </c>
      <c r="X7" s="24">
        <v>6051</v>
      </c>
      <c r="Y7" s="24">
        <f t="shared" ref="Y7:Y19" si="11">X7+W7</f>
        <v>6511</v>
      </c>
      <c r="Z7" s="24"/>
      <c r="AA7" s="24"/>
      <c r="AB7" s="24">
        <f t="shared" ref="AB7:AB19" si="12">AA7+Z7</f>
        <v>0</v>
      </c>
      <c r="AC7" s="24"/>
      <c r="AD7" s="24">
        <v>23101</v>
      </c>
      <c r="AE7" s="24">
        <f t="shared" ref="AE7:AE19" si="13">AD7+AC7</f>
        <v>23101</v>
      </c>
      <c r="AF7" s="24">
        <v>79669</v>
      </c>
      <c r="AG7" s="24">
        <v>310403</v>
      </c>
      <c r="AH7" s="24">
        <f t="shared" ref="AH7:AH19" si="14">AG7+AF7</f>
        <v>390072</v>
      </c>
      <c r="AI7" s="24"/>
      <c r="AJ7" s="24"/>
      <c r="AK7" s="24">
        <f t="shared" ref="AK7:AK19" si="15">AJ7+AI7</f>
        <v>0</v>
      </c>
      <c r="AL7" s="24">
        <v>2265</v>
      </c>
      <c r="AM7" s="24">
        <v>7735</v>
      </c>
      <c r="AN7" s="24">
        <f t="shared" ref="AN7:AN19" si="16">AM7+AL7</f>
        <v>10000</v>
      </c>
      <c r="AO7" s="24"/>
      <c r="AP7" s="24"/>
      <c r="AQ7" s="24">
        <f t="shared" ref="AQ7:AQ18" si="17">AO7+AP7</f>
        <v>0</v>
      </c>
      <c r="AR7" s="24">
        <v>17739</v>
      </c>
      <c r="AS7" s="24">
        <v>54460</v>
      </c>
      <c r="AT7" s="24">
        <f t="shared" ref="AT7:AT19" si="18">AS7+AR7</f>
        <v>72199</v>
      </c>
      <c r="AU7" s="24">
        <v>11714</v>
      </c>
      <c r="AV7" s="24">
        <v>57803</v>
      </c>
      <c r="AW7" s="24">
        <f t="shared" ref="AW7:AW19" si="19">AV7+AU7</f>
        <v>69517</v>
      </c>
      <c r="AX7" s="24">
        <v>9447.76</v>
      </c>
      <c r="AY7" s="24">
        <v>18124.28</v>
      </c>
      <c r="AZ7" s="24">
        <f t="shared" ref="AZ7:AZ19" si="20">AY7+AX7</f>
        <v>27572.04</v>
      </c>
      <c r="BA7" s="24">
        <v>12467</v>
      </c>
      <c r="BB7" s="24">
        <v>7552</v>
      </c>
      <c r="BC7" s="24">
        <f t="shared" ref="BC7:BC19" si="21">BB7+BA7</f>
        <v>20019</v>
      </c>
      <c r="BD7" s="24">
        <v>106.19</v>
      </c>
      <c r="BE7" s="24">
        <v>2677.06</v>
      </c>
      <c r="BF7" s="24">
        <f t="shared" ref="BF7:BF19" si="22">BE7+BD7</f>
        <v>2783.25</v>
      </c>
      <c r="BG7" s="24"/>
      <c r="BH7" s="24">
        <v>3272</v>
      </c>
      <c r="BI7" s="24">
        <f t="shared" ref="BI7:BI19" si="23">BH7+BG7</f>
        <v>3272</v>
      </c>
      <c r="BJ7" s="24"/>
      <c r="BK7" s="24"/>
      <c r="BL7" s="24">
        <f t="shared" si="2"/>
        <v>0</v>
      </c>
      <c r="BM7" s="24">
        <v>47238</v>
      </c>
      <c r="BN7" s="24">
        <v>241899</v>
      </c>
      <c r="BO7" s="24">
        <f t="shared" ref="BO7:BO19" si="24">BN7+BM7</f>
        <v>289137</v>
      </c>
      <c r="BP7" s="24"/>
      <c r="BQ7" s="24"/>
      <c r="BR7" s="24">
        <f t="shared" ref="BR7:BR19" si="25">BQ7+BP7</f>
        <v>0</v>
      </c>
      <c r="BS7" s="24">
        <v>9004</v>
      </c>
      <c r="BT7" s="24">
        <v>135200</v>
      </c>
      <c r="BU7" s="24">
        <f t="shared" ref="BU7:BU19" si="26">BT7+BS7</f>
        <v>144204</v>
      </c>
      <c r="BV7" s="24"/>
      <c r="BW7" s="24"/>
      <c r="BX7" s="24">
        <f t="shared" si="3"/>
        <v>0</v>
      </c>
      <c r="BY7" s="24">
        <v>135791</v>
      </c>
      <c r="BZ7" s="24">
        <v>200929</v>
      </c>
      <c r="CA7" s="24">
        <f t="shared" ref="CA7:CA19" si="27">BZ7+BY7</f>
        <v>336720</v>
      </c>
      <c r="CB7" s="24"/>
      <c r="CC7" s="24"/>
      <c r="CD7" s="24">
        <f t="shared" ref="CD7:CD19" si="28">CC7+CB7</f>
        <v>0</v>
      </c>
      <c r="CE7" s="24"/>
      <c r="CF7" s="24"/>
      <c r="CG7" s="24">
        <f t="shared" ref="CG7:CG19" si="29">CF7+CE7</f>
        <v>0</v>
      </c>
      <c r="CH7" s="24">
        <v>-920</v>
      </c>
      <c r="CI7" s="24">
        <v>7513</v>
      </c>
      <c r="CJ7" s="24">
        <f t="shared" si="4"/>
        <v>6593</v>
      </c>
      <c r="CK7" s="24"/>
      <c r="CL7" s="24"/>
      <c r="CM7" s="24">
        <f t="shared" ref="CM7:CM19" si="30">CL7+CK7</f>
        <v>0</v>
      </c>
      <c r="CN7" s="24">
        <v>741</v>
      </c>
      <c r="CO7" s="24">
        <v>2411</v>
      </c>
      <c r="CP7" s="24">
        <f t="shared" si="5"/>
        <v>3152</v>
      </c>
    </row>
    <row r="8" spans="1:94" ht="15" customHeight="1" x14ac:dyDescent="0.25">
      <c r="A8" s="36" t="s">
        <v>157</v>
      </c>
      <c r="B8" s="24"/>
      <c r="C8" s="24"/>
      <c r="D8" s="24">
        <f t="shared" si="0"/>
        <v>0</v>
      </c>
      <c r="E8" s="24"/>
      <c r="F8" s="24"/>
      <c r="G8" s="24">
        <f t="shared" si="6"/>
        <v>0</v>
      </c>
      <c r="H8" s="24"/>
      <c r="I8" s="24"/>
      <c r="J8" s="24">
        <f t="shared" si="1"/>
        <v>0</v>
      </c>
      <c r="K8" s="24"/>
      <c r="L8" s="24"/>
      <c r="M8" s="24">
        <f t="shared" si="7"/>
        <v>0</v>
      </c>
      <c r="N8" s="24"/>
      <c r="O8" s="24"/>
      <c r="P8" s="24">
        <f t="shared" si="8"/>
        <v>0</v>
      </c>
      <c r="Q8" s="24"/>
      <c r="R8" s="24"/>
      <c r="S8" s="24">
        <f t="shared" si="9"/>
        <v>0</v>
      </c>
      <c r="T8" s="24"/>
      <c r="U8" s="24"/>
      <c r="V8" s="24">
        <f t="shared" si="10"/>
        <v>0</v>
      </c>
      <c r="W8" s="24"/>
      <c r="X8" s="24"/>
      <c r="Y8" s="24">
        <f t="shared" si="11"/>
        <v>0</v>
      </c>
      <c r="Z8" s="24"/>
      <c r="AA8" s="24"/>
      <c r="AB8" s="24">
        <f t="shared" si="12"/>
        <v>0</v>
      </c>
      <c r="AC8" s="24"/>
      <c r="AD8" s="24"/>
      <c r="AE8" s="24">
        <f t="shared" si="13"/>
        <v>0</v>
      </c>
      <c r="AF8" s="24"/>
      <c r="AG8" s="24"/>
      <c r="AH8" s="24">
        <f t="shared" si="14"/>
        <v>0</v>
      </c>
      <c r="AI8" s="24"/>
      <c r="AJ8" s="24"/>
      <c r="AK8" s="24">
        <f t="shared" si="15"/>
        <v>0</v>
      </c>
      <c r="AL8" s="24"/>
      <c r="AM8" s="24"/>
      <c r="AN8" s="24">
        <f t="shared" si="16"/>
        <v>0</v>
      </c>
      <c r="AO8" s="24"/>
      <c r="AP8" s="24"/>
      <c r="AQ8" s="24">
        <f t="shared" si="17"/>
        <v>0</v>
      </c>
      <c r="AR8" s="24"/>
      <c r="AS8" s="24"/>
      <c r="AT8" s="24">
        <f t="shared" si="18"/>
        <v>0</v>
      </c>
      <c r="AU8" s="24"/>
      <c r="AV8" s="24"/>
      <c r="AW8" s="24">
        <f t="shared" si="19"/>
        <v>0</v>
      </c>
      <c r="AX8" s="24"/>
      <c r="AY8" s="24"/>
      <c r="AZ8" s="24">
        <f t="shared" si="20"/>
        <v>0</v>
      </c>
      <c r="BA8" s="24"/>
      <c r="BB8" s="24"/>
      <c r="BC8" s="24">
        <f t="shared" si="21"/>
        <v>0</v>
      </c>
      <c r="BD8" s="24"/>
      <c r="BE8" s="24"/>
      <c r="BF8" s="24">
        <f t="shared" si="22"/>
        <v>0</v>
      </c>
      <c r="BG8" s="24"/>
      <c r="BH8" s="24"/>
      <c r="BI8" s="24">
        <f t="shared" si="23"/>
        <v>0</v>
      </c>
      <c r="BJ8" s="24"/>
      <c r="BK8" s="24"/>
      <c r="BL8" s="24">
        <f t="shared" si="2"/>
        <v>0</v>
      </c>
      <c r="BM8" s="24"/>
      <c r="BN8" s="24"/>
      <c r="BO8" s="24">
        <f t="shared" si="24"/>
        <v>0</v>
      </c>
      <c r="BP8" s="24"/>
      <c r="BQ8" s="24"/>
      <c r="BR8" s="24">
        <f t="shared" si="25"/>
        <v>0</v>
      </c>
      <c r="BS8" s="24"/>
      <c r="BT8" s="24"/>
      <c r="BU8" s="24">
        <f t="shared" si="26"/>
        <v>0</v>
      </c>
      <c r="BV8" s="24"/>
      <c r="BW8" s="24"/>
      <c r="BX8" s="24">
        <f t="shared" si="3"/>
        <v>0</v>
      </c>
      <c r="BY8" s="24"/>
      <c r="BZ8" s="24"/>
      <c r="CA8" s="24">
        <f t="shared" si="27"/>
        <v>0</v>
      </c>
      <c r="CB8" s="24"/>
      <c r="CC8" s="24"/>
      <c r="CD8" s="24">
        <f t="shared" si="28"/>
        <v>0</v>
      </c>
      <c r="CE8" s="24"/>
      <c r="CF8" s="24"/>
      <c r="CG8" s="24">
        <f t="shared" si="29"/>
        <v>0</v>
      </c>
      <c r="CH8" s="24"/>
      <c r="CI8" s="24"/>
      <c r="CJ8" s="24">
        <f t="shared" si="4"/>
        <v>0</v>
      </c>
      <c r="CK8" s="24"/>
      <c r="CL8" s="24"/>
      <c r="CM8" s="24">
        <f t="shared" si="30"/>
        <v>0</v>
      </c>
      <c r="CN8" s="24"/>
      <c r="CO8" s="24"/>
      <c r="CP8" s="24">
        <f t="shared" si="5"/>
        <v>0</v>
      </c>
    </row>
    <row r="9" spans="1:94" ht="15" customHeight="1" x14ac:dyDescent="0.25">
      <c r="A9" s="36" t="s">
        <v>158</v>
      </c>
      <c r="B9" s="24"/>
      <c r="C9" s="24"/>
      <c r="D9" s="24">
        <f t="shared" si="0"/>
        <v>0</v>
      </c>
      <c r="E9" s="24"/>
      <c r="F9" s="24"/>
      <c r="G9" s="24">
        <f t="shared" si="6"/>
        <v>0</v>
      </c>
      <c r="H9" s="24"/>
      <c r="I9" s="24"/>
      <c r="J9" s="24">
        <f t="shared" si="1"/>
        <v>0</v>
      </c>
      <c r="K9" s="24"/>
      <c r="L9" s="24"/>
      <c r="M9" s="24">
        <f t="shared" si="7"/>
        <v>0</v>
      </c>
      <c r="N9" s="24"/>
      <c r="O9" s="24"/>
      <c r="P9" s="24">
        <f t="shared" si="8"/>
        <v>0</v>
      </c>
      <c r="Q9" s="24"/>
      <c r="R9" s="24"/>
      <c r="S9" s="24">
        <f t="shared" si="9"/>
        <v>0</v>
      </c>
      <c r="T9" s="24"/>
      <c r="U9" s="24"/>
      <c r="V9" s="24">
        <f t="shared" si="10"/>
        <v>0</v>
      </c>
      <c r="W9" s="24"/>
      <c r="X9" s="24"/>
      <c r="Y9" s="24">
        <f t="shared" si="11"/>
        <v>0</v>
      </c>
      <c r="Z9" s="24"/>
      <c r="AA9" s="24"/>
      <c r="AB9" s="24">
        <f t="shared" si="12"/>
        <v>0</v>
      </c>
      <c r="AC9" s="24"/>
      <c r="AD9" s="24"/>
      <c r="AE9" s="24">
        <f t="shared" si="13"/>
        <v>0</v>
      </c>
      <c r="AF9" s="24"/>
      <c r="AG9" s="24"/>
      <c r="AH9" s="24">
        <f t="shared" si="14"/>
        <v>0</v>
      </c>
      <c r="AI9" s="24"/>
      <c r="AJ9" s="24"/>
      <c r="AK9" s="24">
        <f t="shared" si="15"/>
        <v>0</v>
      </c>
      <c r="AL9" s="24"/>
      <c r="AM9" s="24"/>
      <c r="AN9" s="24">
        <f t="shared" si="16"/>
        <v>0</v>
      </c>
      <c r="AO9" s="24"/>
      <c r="AP9" s="24"/>
      <c r="AQ9" s="24">
        <f t="shared" si="17"/>
        <v>0</v>
      </c>
      <c r="AR9" s="24"/>
      <c r="AS9" s="24"/>
      <c r="AT9" s="24">
        <f t="shared" si="18"/>
        <v>0</v>
      </c>
      <c r="AU9" s="24"/>
      <c r="AV9" s="24"/>
      <c r="AW9" s="24">
        <f t="shared" si="19"/>
        <v>0</v>
      </c>
      <c r="AX9" s="24"/>
      <c r="AY9" s="24"/>
      <c r="AZ9" s="24">
        <f t="shared" si="20"/>
        <v>0</v>
      </c>
      <c r="BA9" s="24"/>
      <c r="BB9" s="24"/>
      <c r="BC9" s="24">
        <f t="shared" si="21"/>
        <v>0</v>
      </c>
      <c r="BD9" s="24"/>
      <c r="BE9" s="24"/>
      <c r="BF9" s="24">
        <f t="shared" si="22"/>
        <v>0</v>
      </c>
      <c r="BG9" s="24"/>
      <c r="BH9" s="24"/>
      <c r="BI9" s="24">
        <f t="shared" si="23"/>
        <v>0</v>
      </c>
      <c r="BJ9" s="24"/>
      <c r="BK9" s="24"/>
      <c r="BL9" s="24">
        <f t="shared" si="2"/>
        <v>0</v>
      </c>
      <c r="BM9" s="24"/>
      <c r="BN9" s="24"/>
      <c r="BO9" s="24">
        <f t="shared" si="24"/>
        <v>0</v>
      </c>
      <c r="BP9" s="24"/>
      <c r="BQ9" s="24"/>
      <c r="BR9" s="24">
        <f t="shared" si="25"/>
        <v>0</v>
      </c>
      <c r="BS9" s="24"/>
      <c r="BT9" s="24"/>
      <c r="BU9" s="24">
        <f t="shared" si="26"/>
        <v>0</v>
      </c>
      <c r="BV9" s="24"/>
      <c r="BW9" s="24"/>
      <c r="BX9" s="24">
        <f t="shared" si="3"/>
        <v>0</v>
      </c>
      <c r="BY9" s="24"/>
      <c r="BZ9" s="24"/>
      <c r="CA9" s="24">
        <f t="shared" si="27"/>
        <v>0</v>
      </c>
      <c r="CB9" s="24"/>
      <c r="CC9" s="24"/>
      <c r="CD9" s="24">
        <f t="shared" si="28"/>
        <v>0</v>
      </c>
      <c r="CE9" s="24"/>
      <c r="CF9" s="24"/>
      <c r="CG9" s="24">
        <f t="shared" si="29"/>
        <v>0</v>
      </c>
      <c r="CH9" s="24"/>
      <c r="CI9" s="24"/>
      <c r="CJ9" s="24">
        <f t="shared" si="4"/>
        <v>0</v>
      </c>
      <c r="CK9" s="24"/>
      <c r="CL9" s="24"/>
      <c r="CM9" s="24">
        <f t="shared" si="30"/>
        <v>0</v>
      </c>
      <c r="CN9" s="24"/>
      <c r="CO9" s="24"/>
      <c r="CP9" s="24">
        <f t="shared" si="5"/>
        <v>0</v>
      </c>
    </row>
    <row r="10" spans="1:94" ht="15" customHeight="1" x14ac:dyDescent="0.25">
      <c r="A10" s="36" t="s">
        <v>159</v>
      </c>
      <c r="B10" s="24"/>
      <c r="C10" s="24"/>
      <c r="D10" s="24">
        <f t="shared" si="0"/>
        <v>0</v>
      </c>
      <c r="E10" s="24"/>
      <c r="F10" s="24"/>
      <c r="G10" s="24">
        <f t="shared" si="6"/>
        <v>0</v>
      </c>
      <c r="H10" s="24">
        <v>6155</v>
      </c>
      <c r="I10" s="24">
        <v>22977</v>
      </c>
      <c r="J10" s="24">
        <f t="shared" si="1"/>
        <v>29132</v>
      </c>
      <c r="K10" s="24">
        <v>63248</v>
      </c>
      <c r="L10" s="24">
        <v>142307</v>
      </c>
      <c r="M10" s="24">
        <f t="shared" si="7"/>
        <v>205555</v>
      </c>
      <c r="N10" s="24">
        <v>8615</v>
      </c>
      <c r="O10" s="24">
        <v>12422</v>
      </c>
      <c r="P10" s="24">
        <f t="shared" si="8"/>
        <v>21037</v>
      </c>
      <c r="Q10" s="24">
        <v>2462</v>
      </c>
      <c r="R10" s="24">
        <v>17929</v>
      </c>
      <c r="S10" s="24">
        <f t="shared" si="9"/>
        <v>20391</v>
      </c>
      <c r="T10" s="24">
        <v>96874.11</v>
      </c>
      <c r="U10" s="24">
        <v>96874.12</v>
      </c>
      <c r="V10" s="24">
        <f t="shared" si="10"/>
        <v>193748.22999999998</v>
      </c>
      <c r="W10" s="24"/>
      <c r="X10" s="24"/>
      <c r="Y10" s="24">
        <f t="shared" si="11"/>
        <v>0</v>
      </c>
      <c r="Z10" s="24">
        <v>17.37</v>
      </c>
      <c r="AA10" s="24">
        <v>60.95</v>
      </c>
      <c r="AB10" s="24">
        <f t="shared" si="12"/>
        <v>78.320000000000007</v>
      </c>
      <c r="AC10" s="24">
        <v>17881</v>
      </c>
      <c r="AD10" s="24">
        <v>12360</v>
      </c>
      <c r="AE10" s="24">
        <f t="shared" si="13"/>
        <v>30241</v>
      </c>
      <c r="AF10" s="24">
        <v>25577</v>
      </c>
      <c r="AG10" s="24">
        <v>99651</v>
      </c>
      <c r="AH10" s="24">
        <f t="shared" si="14"/>
        <v>125228</v>
      </c>
      <c r="AI10" s="24">
        <v>103022</v>
      </c>
      <c r="AJ10" s="24">
        <v>319656</v>
      </c>
      <c r="AK10" s="24">
        <f t="shared" si="15"/>
        <v>422678</v>
      </c>
      <c r="AL10" s="24">
        <v>201</v>
      </c>
      <c r="AM10" s="24">
        <v>686</v>
      </c>
      <c r="AN10" s="24">
        <f t="shared" si="16"/>
        <v>887</v>
      </c>
      <c r="AO10" s="24"/>
      <c r="AP10" s="24"/>
      <c r="AQ10" s="24">
        <f t="shared" si="17"/>
        <v>0</v>
      </c>
      <c r="AR10" s="24"/>
      <c r="AS10" s="24"/>
      <c r="AT10" s="24">
        <f t="shared" si="18"/>
        <v>0</v>
      </c>
      <c r="AU10" s="24"/>
      <c r="AV10" s="24"/>
      <c r="AW10" s="24">
        <f t="shared" si="19"/>
        <v>0</v>
      </c>
      <c r="AX10" s="24"/>
      <c r="AY10" s="24"/>
      <c r="AZ10" s="24">
        <f t="shared" si="20"/>
        <v>0</v>
      </c>
      <c r="BA10" s="24"/>
      <c r="BB10" s="24"/>
      <c r="BC10" s="24">
        <f t="shared" si="21"/>
        <v>0</v>
      </c>
      <c r="BD10" s="24">
        <v>41253.78</v>
      </c>
      <c r="BE10" s="24">
        <v>1040059.83</v>
      </c>
      <c r="BF10" s="24">
        <f t="shared" si="22"/>
        <v>1081313.6099999999</v>
      </c>
      <c r="BG10" s="24"/>
      <c r="BH10" s="24"/>
      <c r="BI10" s="24">
        <f t="shared" si="23"/>
        <v>0</v>
      </c>
      <c r="BJ10" s="24"/>
      <c r="BK10" s="24"/>
      <c r="BL10" s="24">
        <f t="shared" si="2"/>
        <v>0</v>
      </c>
      <c r="BM10" s="24"/>
      <c r="BN10" s="24"/>
      <c r="BO10" s="24">
        <f t="shared" si="24"/>
        <v>0</v>
      </c>
      <c r="BP10" s="24"/>
      <c r="BQ10" s="24"/>
      <c r="BR10" s="24">
        <f t="shared" si="25"/>
        <v>0</v>
      </c>
      <c r="BS10" s="24">
        <v>55277</v>
      </c>
      <c r="BT10" s="24"/>
      <c r="BU10" s="24">
        <f t="shared" si="26"/>
        <v>55277</v>
      </c>
      <c r="BV10" s="24">
        <v>22894.240000000002</v>
      </c>
      <c r="BW10" s="24"/>
      <c r="BX10" s="24">
        <f t="shared" si="3"/>
        <v>22894.240000000002</v>
      </c>
      <c r="BY10" s="24"/>
      <c r="BZ10" s="24"/>
      <c r="CA10" s="24">
        <f t="shared" si="27"/>
        <v>0</v>
      </c>
      <c r="CB10" s="24">
        <v>28483</v>
      </c>
      <c r="CC10" s="24">
        <v>132411</v>
      </c>
      <c r="CD10" s="24">
        <f t="shared" si="28"/>
        <v>160894</v>
      </c>
      <c r="CE10" s="24"/>
      <c r="CF10" s="24"/>
      <c r="CG10" s="24">
        <f t="shared" si="29"/>
        <v>0</v>
      </c>
      <c r="CH10" s="24">
        <v>-111372</v>
      </c>
      <c r="CI10" s="24">
        <v>909735</v>
      </c>
      <c r="CJ10" s="24">
        <f t="shared" si="4"/>
        <v>798363</v>
      </c>
      <c r="CK10" s="24">
        <v>40106.589999999997</v>
      </c>
      <c r="CL10" s="24">
        <v>896963.28</v>
      </c>
      <c r="CM10" s="24">
        <f t="shared" si="30"/>
        <v>937069.87</v>
      </c>
      <c r="CN10" s="24">
        <v>1271</v>
      </c>
      <c r="CO10" s="24">
        <v>4137</v>
      </c>
      <c r="CP10" s="24">
        <f t="shared" si="5"/>
        <v>5408</v>
      </c>
    </row>
    <row r="11" spans="1:94" ht="15" customHeight="1" x14ac:dyDescent="0.25">
      <c r="A11" s="36" t="s">
        <v>160</v>
      </c>
      <c r="B11" s="24"/>
      <c r="C11" s="24"/>
      <c r="D11" s="24">
        <f t="shared" si="0"/>
        <v>0</v>
      </c>
      <c r="E11" s="24"/>
      <c r="F11" s="24"/>
      <c r="G11" s="24">
        <f t="shared" si="6"/>
        <v>0</v>
      </c>
      <c r="H11" s="24"/>
      <c r="I11" s="24"/>
      <c r="J11" s="24">
        <f t="shared" si="1"/>
        <v>0</v>
      </c>
      <c r="K11" s="24"/>
      <c r="L11" s="24"/>
      <c r="M11" s="24">
        <f t="shared" si="7"/>
        <v>0</v>
      </c>
      <c r="N11" s="24"/>
      <c r="O11" s="24"/>
      <c r="P11" s="24">
        <f t="shared" si="8"/>
        <v>0</v>
      </c>
      <c r="Q11" s="24"/>
      <c r="R11" s="24"/>
      <c r="S11" s="24">
        <f t="shared" si="9"/>
        <v>0</v>
      </c>
      <c r="T11" s="24"/>
      <c r="U11" s="24"/>
      <c r="V11" s="24">
        <f t="shared" si="10"/>
        <v>0</v>
      </c>
      <c r="W11" s="24"/>
      <c r="X11" s="24"/>
      <c r="Y11" s="24">
        <f t="shared" si="11"/>
        <v>0</v>
      </c>
      <c r="Z11" s="24"/>
      <c r="AA11" s="24"/>
      <c r="AB11" s="24">
        <f t="shared" si="12"/>
        <v>0</v>
      </c>
      <c r="AC11" s="24"/>
      <c r="AD11" s="24"/>
      <c r="AE11" s="24">
        <f t="shared" si="13"/>
        <v>0</v>
      </c>
      <c r="AF11" s="24"/>
      <c r="AG11" s="24"/>
      <c r="AH11" s="24">
        <f t="shared" si="14"/>
        <v>0</v>
      </c>
      <c r="AI11" s="24"/>
      <c r="AJ11" s="24"/>
      <c r="AK11" s="24">
        <f t="shared" si="15"/>
        <v>0</v>
      </c>
      <c r="AL11" s="24"/>
      <c r="AM11" s="24"/>
      <c r="AN11" s="24">
        <f t="shared" si="16"/>
        <v>0</v>
      </c>
      <c r="AO11" s="24"/>
      <c r="AP11" s="24"/>
      <c r="AQ11" s="24">
        <f t="shared" si="17"/>
        <v>0</v>
      </c>
      <c r="AR11" s="24"/>
      <c r="AS11" s="24"/>
      <c r="AT11" s="24">
        <f t="shared" si="18"/>
        <v>0</v>
      </c>
      <c r="AU11" s="24"/>
      <c r="AV11" s="24"/>
      <c r="AW11" s="24">
        <f t="shared" si="19"/>
        <v>0</v>
      </c>
      <c r="AX11" s="24"/>
      <c r="AY11" s="24"/>
      <c r="AZ11" s="24">
        <f t="shared" si="20"/>
        <v>0</v>
      </c>
      <c r="BA11" s="24"/>
      <c r="BB11" s="24"/>
      <c r="BC11" s="24">
        <f t="shared" si="21"/>
        <v>0</v>
      </c>
      <c r="BD11" s="24">
        <v>0.98</v>
      </c>
      <c r="BE11" s="24">
        <v>24.67</v>
      </c>
      <c r="BF11" s="24">
        <f t="shared" si="22"/>
        <v>25.650000000000002</v>
      </c>
      <c r="BG11" s="24"/>
      <c r="BH11" s="24"/>
      <c r="BI11" s="24">
        <f t="shared" si="23"/>
        <v>0</v>
      </c>
      <c r="BJ11" s="24"/>
      <c r="BK11" s="24"/>
      <c r="BL11" s="24">
        <f t="shared" si="2"/>
        <v>0</v>
      </c>
      <c r="BM11" s="24"/>
      <c r="BN11" s="24"/>
      <c r="BO11" s="24">
        <f t="shared" si="24"/>
        <v>0</v>
      </c>
      <c r="BP11" s="24"/>
      <c r="BQ11" s="24"/>
      <c r="BR11" s="24">
        <f t="shared" si="25"/>
        <v>0</v>
      </c>
      <c r="BS11" s="24"/>
      <c r="BT11" s="24"/>
      <c r="BU11" s="24">
        <f t="shared" si="26"/>
        <v>0</v>
      </c>
      <c r="BV11" s="24"/>
      <c r="BW11" s="24"/>
      <c r="BX11" s="24">
        <f t="shared" si="3"/>
        <v>0</v>
      </c>
      <c r="BY11" s="24"/>
      <c r="BZ11" s="24"/>
      <c r="CA11" s="24">
        <f t="shared" si="27"/>
        <v>0</v>
      </c>
      <c r="CB11" s="24"/>
      <c r="CC11" s="24"/>
      <c r="CD11" s="24">
        <f t="shared" si="28"/>
        <v>0</v>
      </c>
      <c r="CE11" s="24"/>
      <c r="CF11" s="24"/>
      <c r="CG11" s="24">
        <f t="shared" si="29"/>
        <v>0</v>
      </c>
      <c r="CH11" s="24"/>
      <c r="CI11" s="24"/>
      <c r="CJ11" s="24">
        <f t="shared" si="4"/>
        <v>0</v>
      </c>
      <c r="CK11" s="24"/>
      <c r="CL11" s="24"/>
      <c r="CM11" s="24">
        <f t="shared" si="30"/>
        <v>0</v>
      </c>
      <c r="CN11" s="24"/>
      <c r="CO11" s="24"/>
      <c r="CP11" s="24">
        <f t="shared" si="5"/>
        <v>0</v>
      </c>
    </row>
    <row r="12" spans="1:94" ht="15" customHeight="1" x14ac:dyDescent="0.25">
      <c r="A12" s="36" t="s">
        <v>161</v>
      </c>
      <c r="B12" s="24"/>
      <c r="C12" s="24"/>
      <c r="D12" s="24">
        <f t="shared" si="0"/>
        <v>0</v>
      </c>
      <c r="E12" s="24"/>
      <c r="F12" s="24"/>
      <c r="G12" s="24">
        <f t="shared" si="6"/>
        <v>0</v>
      </c>
      <c r="H12" s="24"/>
      <c r="I12" s="24"/>
      <c r="J12" s="24">
        <f t="shared" si="1"/>
        <v>0</v>
      </c>
      <c r="K12" s="24"/>
      <c r="L12" s="24"/>
      <c r="M12" s="24">
        <f t="shared" si="7"/>
        <v>0</v>
      </c>
      <c r="N12" s="24"/>
      <c r="O12" s="24"/>
      <c r="P12" s="24">
        <f t="shared" si="8"/>
        <v>0</v>
      </c>
      <c r="Q12" s="24"/>
      <c r="R12" s="24"/>
      <c r="S12" s="24">
        <f t="shared" si="9"/>
        <v>0</v>
      </c>
      <c r="T12" s="24"/>
      <c r="U12" s="24"/>
      <c r="V12" s="24">
        <f t="shared" si="10"/>
        <v>0</v>
      </c>
      <c r="W12" s="24"/>
      <c r="X12" s="24"/>
      <c r="Y12" s="24">
        <f t="shared" si="11"/>
        <v>0</v>
      </c>
      <c r="Z12" s="24"/>
      <c r="AA12" s="24"/>
      <c r="AB12" s="24">
        <f t="shared" si="12"/>
        <v>0</v>
      </c>
      <c r="AC12" s="24"/>
      <c r="AD12" s="24"/>
      <c r="AE12" s="24">
        <f t="shared" si="13"/>
        <v>0</v>
      </c>
      <c r="AF12" s="24">
        <v>301</v>
      </c>
      <c r="AG12" s="24">
        <v>1174</v>
      </c>
      <c r="AH12" s="24">
        <f t="shared" si="14"/>
        <v>1475</v>
      </c>
      <c r="AI12" s="24">
        <v>1926</v>
      </c>
      <c r="AJ12" s="24">
        <v>5975</v>
      </c>
      <c r="AK12" s="24">
        <f t="shared" si="15"/>
        <v>7901</v>
      </c>
      <c r="AL12" s="24"/>
      <c r="AM12" s="24"/>
      <c r="AN12" s="24">
        <f t="shared" si="16"/>
        <v>0</v>
      </c>
      <c r="AO12" s="24"/>
      <c r="AP12" s="24"/>
      <c r="AQ12" s="24">
        <f t="shared" si="17"/>
        <v>0</v>
      </c>
      <c r="AR12" s="24"/>
      <c r="AS12" s="24"/>
      <c r="AT12" s="24">
        <f t="shared" si="18"/>
        <v>0</v>
      </c>
      <c r="AU12" s="24"/>
      <c r="AV12" s="24"/>
      <c r="AW12" s="24">
        <f t="shared" si="19"/>
        <v>0</v>
      </c>
      <c r="AX12" s="24"/>
      <c r="AY12" s="24"/>
      <c r="AZ12" s="24">
        <f t="shared" si="20"/>
        <v>0</v>
      </c>
      <c r="BA12" s="24"/>
      <c r="BB12" s="24"/>
      <c r="BC12" s="24">
        <f t="shared" si="21"/>
        <v>0</v>
      </c>
      <c r="BD12" s="24">
        <v>221.52</v>
      </c>
      <c r="BE12" s="24">
        <v>5584.75</v>
      </c>
      <c r="BF12" s="24">
        <f t="shared" si="22"/>
        <v>5806.27</v>
      </c>
      <c r="BG12" s="24"/>
      <c r="BH12" s="24"/>
      <c r="BI12" s="24">
        <f t="shared" si="23"/>
        <v>0</v>
      </c>
      <c r="BJ12" s="24"/>
      <c r="BK12" s="24"/>
      <c r="BL12" s="24">
        <f t="shared" si="2"/>
        <v>0</v>
      </c>
      <c r="BM12" s="24"/>
      <c r="BN12" s="24"/>
      <c r="BO12" s="24">
        <f t="shared" si="24"/>
        <v>0</v>
      </c>
      <c r="BP12" s="24"/>
      <c r="BQ12" s="24"/>
      <c r="BR12" s="24">
        <f t="shared" si="25"/>
        <v>0</v>
      </c>
      <c r="BS12" s="24"/>
      <c r="BT12" s="24"/>
      <c r="BU12" s="24">
        <f t="shared" si="26"/>
        <v>0</v>
      </c>
      <c r="BV12" s="24"/>
      <c r="BW12" s="24"/>
      <c r="BX12" s="24">
        <f t="shared" si="3"/>
        <v>0</v>
      </c>
      <c r="BY12" s="24"/>
      <c r="BZ12" s="24"/>
      <c r="CA12" s="24">
        <f t="shared" si="27"/>
        <v>0</v>
      </c>
      <c r="CB12" s="24"/>
      <c r="CC12" s="24"/>
      <c r="CD12" s="24">
        <f t="shared" si="28"/>
        <v>0</v>
      </c>
      <c r="CE12" s="24"/>
      <c r="CF12" s="24"/>
      <c r="CG12" s="24">
        <f t="shared" si="29"/>
        <v>0</v>
      </c>
      <c r="CH12" s="24">
        <v>-415</v>
      </c>
      <c r="CI12" s="24">
        <v>3388</v>
      </c>
      <c r="CJ12" s="24">
        <f t="shared" si="4"/>
        <v>2973</v>
      </c>
      <c r="CK12" s="24"/>
      <c r="CL12" s="24"/>
      <c r="CM12" s="24">
        <f t="shared" si="30"/>
        <v>0</v>
      </c>
      <c r="CN12" s="24"/>
      <c r="CO12" s="24"/>
      <c r="CP12" s="24">
        <f t="shared" si="5"/>
        <v>0</v>
      </c>
    </row>
    <row r="13" spans="1:94" ht="15" customHeight="1" x14ac:dyDescent="0.25">
      <c r="A13" s="36" t="s">
        <v>292</v>
      </c>
      <c r="B13" s="24"/>
      <c r="C13" s="24"/>
      <c r="D13" s="24"/>
      <c r="E13" s="24"/>
      <c r="F13" s="24"/>
      <c r="G13" s="24">
        <f t="shared" si="6"/>
        <v>0</v>
      </c>
      <c r="H13" s="24"/>
      <c r="I13" s="24"/>
      <c r="J13" s="24">
        <f t="shared" si="1"/>
        <v>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</row>
    <row r="14" spans="1:94" ht="15" customHeight="1" x14ac:dyDescent="0.25">
      <c r="A14" s="36" t="s">
        <v>293</v>
      </c>
      <c r="B14" s="24">
        <v>19814</v>
      </c>
      <c r="C14" s="24">
        <v>18250</v>
      </c>
      <c r="D14" s="24">
        <f t="shared" si="0"/>
        <v>38064</v>
      </c>
      <c r="E14" s="24"/>
      <c r="F14" s="24">
        <v>7827</v>
      </c>
      <c r="G14" s="24">
        <f t="shared" si="6"/>
        <v>7827</v>
      </c>
      <c r="H14" s="24">
        <v>47024</v>
      </c>
      <c r="I14" s="24">
        <v>175540</v>
      </c>
      <c r="J14" s="24">
        <f t="shared" si="1"/>
        <v>222564</v>
      </c>
      <c r="K14" s="24">
        <v>17862</v>
      </c>
      <c r="L14" s="24">
        <v>126033</v>
      </c>
      <c r="M14" s="24">
        <f t="shared" si="7"/>
        <v>143895</v>
      </c>
      <c r="N14" s="24">
        <v>29224</v>
      </c>
      <c r="O14" s="24">
        <v>41044</v>
      </c>
      <c r="P14" s="24">
        <f t="shared" si="8"/>
        <v>70268</v>
      </c>
      <c r="Q14" s="24">
        <v>21160</v>
      </c>
      <c r="R14" s="24">
        <v>154081</v>
      </c>
      <c r="S14" s="24">
        <f t="shared" si="9"/>
        <v>175241</v>
      </c>
      <c r="T14" s="24">
        <v>101551.62</v>
      </c>
      <c r="U14" s="24">
        <v>101551.62</v>
      </c>
      <c r="V14" s="24">
        <f t="shared" si="10"/>
        <v>203103.24</v>
      </c>
      <c r="W14" s="24">
        <v>208</v>
      </c>
      <c r="X14" s="24">
        <v>1559</v>
      </c>
      <c r="Y14" s="24">
        <f t="shared" si="11"/>
        <v>1767</v>
      </c>
      <c r="Z14" s="24">
        <v>17928.47</v>
      </c>
      <c r="AA14" s="24">
        <v>62901.93</v>
      </c>
      <c r="AB14" s="24">
        <f t="shared" si="12"/>
        <v>80830.399999999994</v>
      </c>
      <c r="AC14" s="24">
        <v>2499</v>
      </c>
      <c r="AD14" s="24">
        <v>17090</v>
      </c>
      <c r="AE14" s="24">
        <f t="shared" si="13"/>
        <v>19589</v>
      </c>
      <c r="AF14" s="24">
        <v>38426</v>
      </c>
      <c r="AG14" s="24">
        <v>149714</v>
      </c>
      <c r="AH14" s="24">
        <f t="shared" si="14"/>
        <v>188140</v>
      </c>
      <c r="AI14" s="24">
        <v>82542</v>
      </c>
      <c r="AJ14" s="24">
        <v>256111</v>
      </c>
      <c r="AK14" s="24">
        <f t="shared" si="15"/>
        <v>338653</v>
      </c>
      <c r="AL14" s="24">
        <v>17025</v>
      </c>
      <c r="AM14" s="24">
        <v>58154</v>
      </c>
      <c r="AN14" s="24">
        <f t="shared" si="16"/>
        <v>75179</v>
      </c>
      <c r="AO14" s="24">
        <v>349</v>
      </c>
      <c r="AP14" s="24">
        <v>1161</v>
      </c>
      <c r="AQ14" s="24">
        <f t="shared" si="17"/>
        <v>1510</v>
      </c>
      <c r="AR14" s="24">
        <v>26975</v>
      </c>
      <c r="AS14" s="24">
        <v>82814</v>
      </c>
      <c r="AT14" s="24">
        <f t="shared" si="18"/>
        <v>109789</v>
      </c>
      <c r="AU14" s="24">
        <v>9694</v>
      </c>
      <c r="AV14" s="24">
        <v>47836</v>
      </c>
      <c r="AW14" s="24">
        <f t="shared" si="19"/>
        <v>57530</v>
      </c>
      <c r="AX14" s="24">
        <v>4489.1499999999996</v>
      </c>
      <c r="AY14" s="24">
        <v>7329.59</v>
      </c>
      <c r="AZ14" s="24">
        <f t="shared" si="20"/>
        <v>11818.74</v>
      </c>
      <c r="BA14" s="24">
        <v>17507</v>
      </c>
      <c r="BB14" s="24">
        <v>68742</v>
      </c>
      <c r="BC14" s="24">
        <f t="shared" si="21"/>
        <v>86249</v>
      </c>
      <c r="BD14" s="24">
        <v>11283.73</v>
      </c>
      <c r="BE14" s="24">
        <v>284477.09999999998</v>
      </c>
      <c r="BF14" s="24">
        <f t="shared" si="22"/>
        <v>295760.82999999996</v>
      </c>
      <c r="BG14" s="24">
        <v>1533</v>
      </c>
      <c r="BH14" s="24">
        <v>9628</v>
      </c>
      <c r="BI14" s="24">
        <f t="shared" si="23"/>
        <v>11161</v>
      </c>
      <c r="BJ14" s="24">
        <v>4057</v>
      </c>
      <c r="BK14" s="24">
        <v>17750</v>
      </c>
      <c r="BL14" s="24">
        <f t="shared" si="2"/>
        <v>21807</v>
      </c>
      <c r="BM14" s="24">
        <v>75130</v>
      </c>
      <c r="BN14" s="24">
        <v>384730</v>
      </c>
      <c r="BO14" s="24">
        <f t="shared" si="24"/>
        <v>459860</v>
      </c>
      <c r="BP14" s="24">
        <v>23397</v>
      </c>
      <c r="BQ14" s="24">
        <v>119996</v>
      </c>
      <c r="BR14" s="24">
        <f t="shared" si="25"/>
        <v>143393</v>
      </c>
      <c r="BS14" s="24">
        <v>9588</v>
      </c>
      <c r="BT14" s="24">
        <v>143766</v>
      </c>
      <c r="BU14" s="24">
        <f t="shared" si="26"/>
        <v>153354</v>
      </c>
      <c r="BV14" s="24">
        <v>244.58</v>
      </c>
      <c r="BW14" s="24">
        <v>140490</v>
      </c>
      <c r="BX14" s="24">
        <f t="shared" si="3"/>
        <v>140734.57999999999</v>
      </c>
      <c r="BY14" s="24"/>
      <c r="BZ14" s="24"/>
      <c r="CA14" s="24">
        <f t="shared" si="27"/>
        <v>0</v>
      </c>
      <c r="CB14" s="24">
        <v>72579</v>
      </c>
      <c r="CC14" s="24">
        <v>337401</v>
      </c>
      <c r="CD14" s="24">
        <f t="shared" si="28"/>
        <v>409980</v>
      </c>
      <c r="CE14" s="24"/>
      <c r="CF14" s="24"/>
      <c r="CG14" s="24">
        <f t="shared" si="29"/>
        <v>0</v>
      </c>
      <c r="CH14" s="24">
        <v>-6442</v>
      </c>
      <c r="CI14" s="24">
        <v>52623</v>
      </c>
      <c r="CJ14" s="24">
        <f t="shared" si="4"/>
        <v>46181</v>
      </c>
      <c r="CK14" s="24">
        <v>5682.62</v>
      </c>
      <c r="CL14" s="24">
        <v>127088.79</v>
      </c>
      <c r="CM14" s="24">
        <f t="shared" si="30"/>
        <v>132771.41</v>
      </c>
      <c r="CN14" s="24">
        <v>19635</v>
      </c>
      <c r="CO14" s="24">
        <v>63895</v>
      </c>
      <c r="CP14" s="24">
        <f t="shared" si="5"/>
        <v>83530</v>
      </c>
    </row>
    <row r="15" spans="1:94" ht="15" customHeight="1" x14ac:dyDescent="0.25">
      <c r="A15" s="36" t="s">
        <v>168</v>
      </c>
      <c r="B15" s="24"/>
      <c r="C15" s="24"/>
      <c r="D15" s="24">
        <f t="shared" si="0"/>
        <v>0</v>
      </c>
      <c r="E15" s="24"/>
      <c r="F15" s="24"/>
      <c r="G15" s="24">
        <f t="shared" si="6"/>
        <v>0</v>
      </c>
      <c r="H15" s="24"/>
      <c r="I15" s="24"/>
      <c r="J15" s="24">
        <f t="shared" si="1"/>
        <v>0</v>
      </c>
      <c r="K15" s="24"/>
      <c r="L15" s="24"/>
      <c r="M15" s="24">
        <f t="shared" si="7"/>
        <v>0</v>
      </c>
      <c r="N15" s="24"/>
      <c r="O15" s="24"/>
      <c r="P15" s="24">
        <f t="shared" si="8"/>
        <v>0</v>
      </c>
      <c r="Q15" s="24">
        <v>360</v>
      </c>
      <c r="R15" s="24">
        <v>2619</v>
      </c>
      <c r="S15" s="24">
        <f t="shared" si="9"/>
        <v>2979</v>
      </c>
      <c r="T15" s="24"/>
      <c r="U15" s="24"/>
      <c r="V15" s="24">
        <f t="shared" si="10"/>
        <v>0</v>
      </c>
      <c r="W15" s="24"/>
      <c r="X15" s="24"/>
      <c r="Y15" s="24">
        <f t="shared" si="11"/>
        <v>0</v>
      </c>
      <c r="Z15" s="24"/>
      <c r="AA15" s="24"/>
      <c r="AB15" s="24">
        <f t="shared" si="12"/>
        <v>0</v>
      </c>
      <c r="AC15" s="24"/>
      <c r="AD15" s="24"/>
      <c r="AE15" s="24">
        <f t="shared" si="13"/>
        <v>0</v>
      </c>
      <c r="AF15" s="24">
        <v>49</v>
      </c>
      <c r="AG15" s="24">
        <v>192</v>
      </c>
      <c r="AH15" s="24">
        <f t="shared" si="14"/>
        <v>241</v>
      </c>
      <c r="AI15" s="24">
        <v>37576</v>
      </c>
      <c r="AJ15" s="24">
        <v>109533</v>
      </c>
      <c r="AK15" s="24">
        <f t="shared" si="15"/>
        <v>147109</v>
      </c>
      <c r="AL15" s="24"/>
      <c r="AM15" s="24"/>
      <c r="AN15" s="24">
        <f>AM15+AL15</f>
        <v>0</v>
      </c>
      <c r="AO15" s="24"/>
      <c r="AP15" s="24"/>
      <c r="AQ15" s="24">
        <f t="shared" si="17"/>
        <v>0</v>
      </c>
      <c r="AR15" s="24"/>
      <c r="AS15" s="24"/>
      <c r="AT15" s="24">
        <f t="shared" si="18"/>
        <v>0</v>
      </c>
      <c r="AU15" s="24"/>
      <c r="AV15" s="24"/>
      <c r="AW15" s="24">
        <f t="shared" si="19"/>
        <v>0</v>
      </c>
      <c r="AX15" s="24"/>
      <c r="AY15" s="24"/>
      <c r="AZ15" s="24">
        <f t="shared" si="20"/>
        <v>0</v>
      </c>
      <c r="BA15" s="24"/>
      <c r="BB15" s="24">
        <v>1982</v>
      </c>
      <c r="BC15" s="24">
        <f t="shared" si="21"/>
        <v>1982</v>
      </c>
      <c r="BD15" s="24">
        <v>13.71</v>
      </c>
      <c r="BE15" s="24">
        <v>345.66</v>
      </c>
      <c r="BF15" s="24">
        <f t="shared" si="22"/>
        <v>359.37</v>
      </c>
      <c r="BG15" s="24">
        <v>1499</v>
      </c>
      <c r="BH15" s="24">
        <v>2395</v>
      </c>
      <c r="BI15" s="24">
        <f t="shared" si="23"/>
        <v>3894</v>
      </c>
      <c r="BJ15" s="24"/>
      <c r="BK15" s="24"/>
      <c r="BL15" s="24">
        <f t="shared" si="2"/>
        <v>0</v>
      </c>
      <c r="BM15" s="24"/>
      <c r="BN15" s="24"/>
      <c r="BO15" s="24">
        <f t="shared" si="24"/>
        <v>0</v>
      </c>
      <c r="BP15" s="24">
        <v>71</v>
      </c>
      <c r="BQ15" s="24">
        <v>364</v>
      </c>
      <c r="BR15" s="24">
        <f t="shared" si="25"/>
        <v>435</v>
      </c>
      <c r="BS15" s="24"/>
      <c r="BT15" s="24"/>
      <c r="BU15" s="24">
        <f t="shared" si="26"/>
        <v>0</v>
      </c>
      <c r="BV15" s="24">
        <v>430.93</v>
      </c>
      <c r="BW15" s="24"/>
      <c r="BX15" s="24">
        <f t="shared" si="3"/>
        <v>430.93</v>
      </c>
      <c r="BY15" s="24"/>
      <c r="BZ15" s="24"/>
      <c r="CA15" s="24">
        <f t="shared" si="27"/>
        <v>0</v>
      </c>
      <c r="CB15" s="24"/>
      <c r="CC15" s="24"/>
      <c r="CD15" s="24">
        <f t="shared" si="28"/>
        <v>0</v>
      </c>
      <c r="CE15" s="24"/>
      <c r="CF15" s="24"/>
      <c r="CG15" s="24">
        <f t="shared" si="29"/>
        <v>0</v>
      </c>
      <c r="CH15" s="24">
        <v>-1071</v>
      </c>
      <c r="CI15" s="24">
        <v>8749</v>
      </c>
      <c r="CJ15" s="24">
        <f t="shared" si="4"/>
        <v>7678</v>
      </c>
      <c r="CK15" s="24"/>
      <c r="CL15" s="24"/>
      <c r="CM15" s="24">
        <f t="shared" si="30"/>
        <v>0</v>
      </c>
      <c r="CN15" s="24"/>
      <c r="CO15" s="24"/>
      <c r="CP15" s="24">
        <f t="shared" si="5"/>
        <v>0</v>
      </c>
    </row>
    <row r="16" spans="1:94" ht="15" customHeight="1" x14ac:dyDescent="0.25">
      <c r="A16" s="36" t="s">
        <v>162</v>
      </c>
      <c r="B16" s="24"/>
      <c r="C16" s="24"/>
      <c r="D16" s="24">
        <f t="shared" si="0"/>
        <v>0</v>
      </c>
      <c r="E16" s="24"/>
      <c r="F16" s="24"/>
      <c r="G16" s="24">
        <f t="shared" si="6"/>
        <v>0</v>
      </c>
      <c r="H16" s="24"/>
      <c r="I16" s="24"/>
      <c r="J16" s="24">
        <f t="shared" si="1"/>
        <v>0</v>
      </c>
      <c r="K16" s="24"/>
      <c r="L16" s="24"/>
      <c r="M16" s="24">
        <f t="shared" si="7"/>
        <v>0</v>
      </c>
      <c r="N16" s="24"/>
      <c r="O16" s="24"/>
      <c r="P16" s="24">
        <f t="shared" si="8"/>
        <v>0</v>
      </c>
      <c r="Q16" s="24"/>
      <c r="R16" s="24"/>
      <c r="S16" s="24">
        <f t="shared" si="9"/>
        <v>0</v>
      </c>
      <c r="T16" s="24"/>
      <c r="U16" s="24"/>
      <c r="V16" s="24">
        <f t="shared" si="10"/>
        <v>0</v>
      </c>
      <c r="W16" s="24"/>
      <c r="X16" s="24"/>
      <c r="Y16" s="24">
        <f t="shared" si="11"/>
        <v>0</v>
      </c>
      <c r="Z16" s="24"/>
      <c r="AA16" s="24"/>
      <c r="AB16" s="24">
        <f t="shared" si="12"/>
        <v>0</v>
      </c>
      <c r="AC16" s="24"/>
      <c r="AD16" s="24"/>
      <c r="AE16" s="24">
        <f t="shared" si="13"/>
        <v>0</v>
      </c>
      <c r="AF16" s="24"/>
      <c r="AG16" s="24"/>
      <c r="AH16" s="24">
        <f t="shared" si="14"/>
        <v>0</v>
      </c>
      <c r="AI16" s="24"/>
      <c r="AJ16" s="24"/>
      <c r="AK16" s="24">
        <f t="shared" si="15"/>
        <v>0</v>
      </c>
      <c r="AL16" s="24">
        <v>11</v>
      </c>
      <c r="AM16" s="24">
        <v>39</v>
      </c>
      <c r="AN16" s="24">
        <f t="shared" si="16"/>
        <v>50</v>
      </c>
      <c r="AO16" s="24"/>
      <c r="AP16" s="24"/>
      <c r="AQ16" s="24">
        <f t="shared" si="17"/>
        <v>0</v>
      </c>
      <c r="AR16" s="24"/>
      <c r="AS16" s="24"/>
      <c r="AT16" s="24">
        <f t="shared" si="18"/>
        <v>0</v>
      </c>
      <c r="AU16" s="24"/>
      <c r="AV16" s="24"/>
      <c r="AW16" s="24">
        <f t="shared" si="19"/>
        <v>0</v>
      </c>
      <c r="AX16" s="24"/>
      <c r="AY16" s="24"/>
      <c r="AZ16" s="24">
        <f t="shared" si="20"/>
        <v>0</v>
      </c>
      <c r="BA16" s="24"/>
      <c r="BB16" s="24"/>
      <c r="BC16" s="24">
        <f t="shared" si="21"/>
        <v>0</v>
      </c>
      <c r="BD16" s="24"/>
      <c r="BE16" s="24"/>
      <c r="BF16" s="24">
        <f t="shared" si="22"/>
        <v>0</v>
      </c>
      <c r="BG16" s="24"/>
      <c r="BH16" s="24"/>
      <c r="BI16" s="24">
        <f t="shared" si="23"/>
        <v>0</v>
      </c>
      <c r="BJ16" s="24"/>
      <c r="BK16" s="24"/>
      <c r="BL16" s="24">
        <f t="shared" si="2"/>
        <v>0</v>
      </c>
      <c r="BM16" s="24"/>
      <c r="BN16" s="24"/>
      <c r="BO16" s="24">
        <f t="shared" si="24"/>
        <v>0</v>
      </c>
      <c r="BP16" s="24"/>
      <c r="BQ16" s="24"/>
      <c r="BR16" s="24">
        <f t="shared" si="25"/>
        <v>0</v>
      </c>
      <c r="BS16" s="24"/>
      <c r="BT16" s="24"/>
      <c r="BU16" s="24">
        <f t="shared" si="26"/>
        <v>0</v>
      </c>
      <c r="BV16" s="24">
        <v>17982.72</v>
      </c>
      <c r="BW16" s="24"/>
      <c r="BX16" s="24">
        <f t="shared" si="3"/>
        <v>17982.72</v>
      </c>
      <c r="BY16" s="24"/>
      <c r="BZ16" s="24"/>
      <c r="CA16" s="24">
        <f t="shared" si="27"/>
        <v>0</v>
      </c>
      <c r="CB16" s="24"/>
      <c r="CC16" s="24"/>
      <c r="CD16" s="24">
        <f t="shared" si="28"/>
        <v>0</v>
      </c>
      <c r="CE16" s="24"/>
      <c r="CF16" s="24"/>
      <c r="CG16" s="24">
        <f t="shared" si="29"/>
        <v>0</v>
      </c>
      <c r="CH16" s="24">
        <v>-1</v>
      </c>
      <c r="CI16" s="24">
        <v>6</v>
      </c>
      <c r="CJ16" s="24">
        <f t="shared" si="4"/>
        <v>5</v>
      </c>
      <c r="CK16" s="24"/>
      <c r="CL16" s="24"/>
      <c r="CM16" s="24">
        <f t="shared" si="30"/>
        <v>0</v>
      </c>
      <c r="CN16" s="24"/>
      <c r="CO16" s="24"/>
      <c r="CP16" s="24">
        <f t="shared" si="5"/>
        <v>0</v>
      </c>
    </row>
    <row r="17" spans="1:94" ht="15" customHeight="1" x14ac:dyDescent="0.25">
      <c r="A17" s="36" t="s">
        <v>163</v>
      </c>
      <c r="B17" s="24"/>
      <c r="C17" s="24"/>
      <c r="D17" s="24">
        <f t="shared" si="0"/>
        <v>0</v>
      </c>
      <c r="E17" s="24"/>
      <c r="F17" s="24"/>
      <c r="G17" s="24">
        <f t="shared" si="6"/>
        <v>0</v>
      </c>
      <c r="H17" s="24"/>
      <c r="I17" s="24"/>
      <c r="J17" s="24">
        <f t="shared" si="1"/>
        <v>0</v>
      </c>
      <c r="K17" s="24"/>
      <c r="L17" s="24"/>
      <c r="M17" s="24">
        <f t="shared" si="7"/>
        <v>0</v>
      </c>
      <c r="N17" s="24"/>
      <c r="O17" s="24"/>
      <c r="P17" s="24">
        <f t="shared" si="8"/>
        <v>0</v>
      </c>
      <c r="Q17" s="24">
        <v>348</v>
      </c>
      <c r="R17" s="24">
        <v>2534</v>
      </c>
      <c r="S17" s="24">
        <f t="shared" si="9"/>
        <v>2882</v>
      </c>
      <c r="T17" s="24"/>
      <c r="U17" s="24"/>
      <c r="V17" s="24">
        <f t="shared" si="10"/>
        <v>0</v>
      </c>
      <c r="W17" s="24"/>
      <c r="X17" s="24">
        <v>1005</v>
      </c>
      <c r="Y17" s="24">
        <f t="shared" si="11"/>
        <v>1005</v>
      </c>
      <c r="Z17" s="24"/>
      <c r="AA17" s="24"/>
      <c r="AB17" s="24">
        <f t="shared" si="12"/>
        <v>0</v>
      </c>
      <c r="AC17" s="24"/>
      <c r="AD17" s="24"/>
      <c r="AE17" s="24">
        <f t="shared" si="13"/>
        <v>0</v>
      </c>
      <c r="AF17" s="24"/>
      <c r="AG17" s="24"/>
      <c r="AH17" s="24">
        <f t="shared" si="14"/>
        <v>0</v>
      </c>
      <c r="AI17" s="24">
        <v>9805</v>
      </c>
      <c r="AJ17" s="24">
        <v>30421</v>
      </c>
      <c r="AK17" s="24">
        <f t="shared" si="15"/>
        <v>40226</v>
      </c>
      <c r="AL17" s="24"/>
      <c r="AM17" s="24"/>
      <c r="AN17" s="24">
        <f t="shared" si="16"/>
        <v>0</v>
      </c>
      <c r="AO17" s="24"/>
      <c r="AP17" s="24"/>
      <c r="AQ17" s="24">
        <f t="shared" si="17"/>
        <v>0</v>
      </c>
      <c r="AR17" s="24"/>
      <c r="AS17" s="24"/>
      <c r="AT17" s="24">
        <f t="shared" si="18"/>
        <v>0</v>
      </c>
      <c r="AU17" s="24"/>
      <c r="AV17" s="24"/>
      <c r="AW17" s="24">
        <f t="shared" si="19"/>
        <v>0</v>
      </c>
      <c r="AX17" s="24"/>
      <c r="AY17" s="24"/>
      <c r="AZ17" s="24">
        <f t="shared" si="20"/>
        <v>0</v>
      </c>
      <c r="BA17" s="24"/>
      <c r="BB17" s="24"/>
      <c r="BC17" s="24">
        <f t="shared" si="21"/>
        <v>0</v>
      </c>
      <c r="BD17" s="24">
        <v>0.77</v>
      </c>
      <c r="BE17" s="24">
        <v>19.47</v>
      </c>
      <c r="BF17" s="24">
        <f t="shared" si="22"/>
        <v>20.239999999999998</v>
      </c>
      <c r="BG17" s="24"/>
      <c r="BH17" s="24"/>
      <c r="BI17" s="24">
        <f t="shared" si="23"/>
        <v>0</v>
      </c>
      <c r="BJ17" s="24"/>
      <c r="BK17" s="24"/>
      <c r="BL17" s="24">
        <f t="shared" si="2"/>
        <v>0</v>
      </c>
      <c r="BM17" s="24"/>
      <c r="BN17" s="24"/>
      <c r="BO17" s="24">
        <f t="shared" si="24"/>
        <v>0</v>
      </c>
      <c r="BP17" s="24"/>
      <c r="BQ17" s="24"/>
      <c r="BR17" s="24">
        <f t="shared" si="25"/>
        <v>0</v>
      </c>
      <c r="BS17" s="24"/>
      <c r="BT17" s="24"/>
      <c r="BU17" s="24">
        <f t="shared" si="26"/>
        <v>0</v>
      </c>
      <c r="BV17" s="24"/>
      <c r="BW17" s="24"/>
      <c r="BX17" s="24">
        <f t="shared" si="3"/>
        <v>0</v>
      </c>
      <c r="BY17" s="24">
        <v>5306</v>
      </c>
      <c r="BZ17" s="24">
        <v>7852</v>
      </c>
      <c r="CA17" s="24">
        <f t="shared" si="27"/>
        <v>13158</v>
      </c>
      <c r="CB17" s="24">
        <v>3306</v>
      </c>
      <c r="CC17" s="24">
        <v>15368</v>
      </c>
      <c r="CD17" s="24">
        <f t="shared" si="28"/>
        <v>18674</v>
      </c>
      <c r="CE17" s="24"/>
      <c r="CF17" s="24"/>
      <c r="CG17" s="24">
        <f t="shared" si="29"/>
        <v>0</v>
      </c>
      <c r="CH17" s="24"/>
      <c r="CI17" s="24"/>
      <c r="CJ17" s="24">
        <f t="shared" si="4"/>
        <v>0</v>
      </c>
      <c r="CK17" s="24"/>
      <c r="CL17" s="24"/>
      <c r="CM17" s="24">
        <f t="shared" si="30"/>
        <v>0</v>
      </c>
      <c r="CN17" s="24"/>
      <c r="CO17" s="24"/>
      <c r="CP17" s="24">
        <f t="shared" si="5"/>
        <v>0</v>
      </c>
    </row>
    <row r="18" spans="1:94" ht="15" customHeight="1" x14ac:dyDescent="0.25">
      <c r="A18" s="36" t="s">
        <v>291</v>
      </c>
      <c r="B18" s="24">
        <v>28035</v>
      </c>
      <c r="C18" s="24">
        <v>25822</v>
      </c>
      <c r="D18" s="24">
        <f t="shared" si="0"/>
        <v>53857</v>
      </c>
      <c r="E18" s="24">
        <v>2560</v>
      </c>
      <c r="F18" s="24">
        <f>7020+4777</f>
        <v>11797</v>
      </c>
      <c r="G18" s="24">
        <f t="shared" si="6"/>
        <v>14357</v>
      </c>
      <c r="H18" s="24">
        <v>19624</v>
      </c>
      <c r="I18" s="24">
        <v>73258</v>
      </c>
      <c r="J18" s="24">
        <f t="shared" si="1"/>
        <v>92882</v>
      </c>
      <c r="K18" s="24">
        <v>53265</v>
      </c>
      <c r="L18" s="24">
        <v>164821</v>
      </c>
      <c r="M18" s="24">
        <f t="shared" si="7"/>
        <v>218086</v>
      </c>
      <c r="N18" s="24">
        <v>62219</v>
      </c>
      <c r="O18" s="24">
        <v>91480</v>
      </c>
      <c r="P18" s="24">
        <f t="shared" si="8"/>
        <v>153699</v>
      </c>
      <c r="Q18" s="24">
        <v>17003</v>
      </c>
      <c r="R18" s="24">
        <v>123813</v>
      </c>
      <c r="S18" s="24">
        <f t="shared" si="9"/>
        <v>140816</v>
      </c>
      <c r="T18" s="24">
        <v>146717.69</v>
      </c>
      <c r="U18" s="24">
        <v>146717.69</v>
      </c>
      <c r="V18" s="24">
        <f t="shared" si="10"/>
        <v>293435.38</v>
      </c>
      <c r="W18" s="24">
        <v>2412</v>
      </c>
      <c r="X18" s="24">
        <v>9614</v>
      </c>
      <c r="Y18" s="24">
        <f t="shared" si="11"/>
        <v>12026</v>
      </c>
      <c r="Z18" s="24">
        <v>38728.080000000002</v>
      </c>
      <c r="AA18" s="24">
        <v>135877.21</v>
      </c>
      <c r="AB18" s="24">
        <f t="shared" si="12"/>
        <v>174605.28999999998</v>
      </c>
      <c r="AC18" s="24">
        <v>16992</v>
      </c>
      <c r="AD18" s="24">
        <v>64380</v>
      </c>
      <c r="AE18" s="24">
        <f t="shared" si="13"/>
        <v>81372</v>
      </c>
      <c r="AF18" s="24">
        <v>96230</v>
      </c>
      <c r="AG18" s="24">
        <v>374928</v>
      </c>
      <c r="AH18" s="24">
        <f t="shared" si="14"/>
        <v>471158</v>
      </c>
      <c r="AI18" s="24">
        <v>217530</v>
      </c>
      <c r="AJ18" s="24">
        <v>674951</v>
      </c>
      <c r="AK18" s="24">
        <f t="shared" si="15"/>
        <v>892481</v>
      </c>
      <c r="AL18" s="24">
        <v>94431</v>
      </c>
      <c r="AM18" s="24">
        <v>322565</v>
      </c>
      <c r="AN18" s="24">
        <f>AM18+AL18</f>
        <v>416996</v>
      </c>
      <c r="AO18" s="24">
        <v>5007</v>
      </c>
      <c r="AP18" s="24">
        <v>16669</v>
      </c>
      <c r="AQ18" s="24">
        <f t="shared" si="17"/>
        <v>21676</v>
      </c>
      <c r="AR18" s="24">
        <v>14754</v>
      </c>
      <c r="AS18" s="24">
        <v>45297</v>
      </c>
      <c r="AT18" s="24">
        <f t="shared" si="18"/>
        <v>60051</v>
      </c>
      <c r="AU18" s="24">
        <v>16928</v>
      </c>
      <c r="AV18" s="24">
        <v>83528</v>
      </c>
      <c r="AW18" s="24">
        <f t="shared" si="19"/>
        <v>100456</v>
      </c>
      <c r="AX18" s="24">
        <v>6352.45</v>
      </c>
      <c r="AY18" s="24">
        <v>18337.87</v>
      </c>
      <c r="AZ18" s="24">
        <f t="shared" si="20"/>
        <v>24690.32</v>
      </c>
      <c r="BA18" s="24">
        <v>11956</v>
      </c>
      <c r="BB18" s="24">
        <v>46904</v>
      </c>
      <c r="BC18" s="24">
        <f t="shared" si="21"/>
        <v>58860</v>
      </c>
      <c r="BD18" s="24">
        <v>8672.77</v>
      </c>
      <c r="BE18" s="24">
        <v>218651.45</v>
      </c>
      <c r="BF18" s="24">
        <f t="shared" si="22"/>
        <v>227324.22</v>
      </c>
      <c r="BG18" s="24">
        <v>2047</v>
      </c>
      <c r="BH18" s="24">
        <v>4568</v>
      </c>
      <c r="BI18" s="24">
        <f t="shared" si="23"/>
        <v>6615</v>
      </c>
      <c r="BJ18" s="24">
        <v>3831</v>
      </c>
      <c r="BK18" s="24">
        <v>16763</v>
      </c>
      <c r="BL18" s="24">
        <f t="shared" si="2"/>
        <v>20594</v>
      </c>
      <c r="BM18" s="24">
        <v>21648</v>
      </c>
      <c r="BN18" s="24">
        <v>110854</v>
      </c>
      <c r="BO18" s="24">
        <f t="shared" si="24"/>
        <v>132502</v>
      </c>
      <c r="BP18" s="24">
        <v>21042</v>
      </c>
      <c r="BQ18" s="24">
        <v>107920</v>
      </c>
      <c r="BR18" s="24">
        <f t="shared" si="25"/>
        <v>128962</v>
      </c>
      <c r="BS18" s="24">
        <v>78771</v>
      </c>
      <c r="BT18" s="24">
        <v>241595</v>
      </c>
      <c r="BU18" s="24">
        <f t="shared" si="26"/>
        <v>320366</v>
      </c>
      <c r="BV18" s="24">
        <v>13292.25</v>
      </c>
      <c r="BW18" s="24">
        <v>499536</v>
      </c>
      <c r="BX18" s="24">
        <f t="shared" si="3"/>
        <v>512828.25</v>
      </c>
      <c r="BY18" s="24">
        <v>67355</v>
      </c>
      <c r="BZ18" s="24">
        <v>99664</v>
      </c>
      <c r="CA18" s="24">
        <f t="shared" si="27"/>
        <v>167019</v>
      </c>
      <c r="CB18" s="24">
        <v>74475</v>
      </c>
      <c r="CC18" s="24">
        <v>346212</v>
      </c>
      <c r="CD18" s="24">
        <f t="shared" si="28"/>
        <v>420687</v>
      </c>
      <c r="CE18" s="24"/>
      <c r="CF18" s="24"/>
      <c r="CG18" s="24">
        <f t="shared" si="29"/>
        <v>0</v>
      </c>
      <c r="CH18" s="24">
        <v>-56267</v>
      </c>
      <c r="CI18" s="24">
        <v>459615</v>
      </c>
      <c r="CJ18" s="24">
        <f t="shared" si="4"/>
        <v>403348</v>
      </c>
      <c r="CK18" s="24">
        <v>20896.87</v>
      </c>
      <c r="CL18" s="24">
        <v>467347.74</v>
      </c>
      <c r="CM18" s="24">
        <f t="shared" si="30"/>
        <v>488244.61</v>
      </c>
      <c r="CN18" s="24">
        <v>14000</v>
      </c>
      <c r="CO18" s="24">
        <v>45559</v>
      </c>
      <c r="CP18" s="24">
        <f t="shared" si="5"/>
        <v>59559</v>
      </c>
    </row>
    <row r="19" spans="1:94" ht="15" customHeight="1" x14ac:dyDescent="0.25">
      <c r="A19" s="36" t="s">
        <v>164</v>
      </c>
      <c r="B19" s="24"/>
      <c r="C19" s="24"/>
      <c r="D19" s="24">
        <f t="shared" si="0"/>
        <v>0</v>
      </c>
      <c r="E19" s="24"/>
      <c r="F19" s="24"/>
      <c r="G19" s="24">
        <f t="shared" si="6"/>
        <v>0</v>
      </c>
      <c r="H19" s="24">
        <v>306</v>
      </c>
      <c r="I19" s="24">
        <v>1143</v>
      </c>
      <c r="J19" s="24">
        <f t="shared" si="1"/>
        <v>1449</v>
      </c>
      <c r="K19" s="24"/>
      <c r="L19" s="24"/>
      <c r="M19" s="24">
        <f t="shared" si="7"/>
        <v>0</v>
      </c>
      <c r="N19" s="24">
        <v>1217</v>
      </c>
      <c r="O19" s="24"/>
      <c r="P19" s="24">
        <f t="shared" si="8"/>
        <v>1217</v>
      </c>
      <c r="Q19" s="24">
        <v>69</v>
      </c>
      <c r="R19" s="24">
        <v>501</v>
      </c>
      <c r="S19" s="24">
        <f t="shared" si="9"/>
        <v>570</v>
      </c>
      <c r="T19" s="24">
        <v>8295.7800000000007</v>
      </c>
      <c r="U19" s="24">
        <v>8295.77</v>
      </c>
      <c r="V19" s="24">
        <f t="shared" si="10"/>
        <v>16591.550000000003</v>
      </c>
      <c r="W19" s="24">
        <v>3287</v>
      </c>
      <c r="X19" s="24">
        <v>1000</v>
      </c>
      <c r="Y19" s="24">
        <f t="shared" si="11"/>
        <v>4287</v>
      </c>
      <c r="Z19" s="24">
        <f>-219.46+793.51</f>
        <v>574.04999999999995</v>
      </c>
      <c r="AA19" s="24">
        <f>-770+2784.01</f>
        <v>2014.0100000000002</v>
      </c>
      <c r="AB19" s="24">
        <f t="shared" si="12"/>
        <v>2588.0600000000004</v>
      </c>
      <c r="AC19" s="24">
        <v>1790</v>
      </c>
      <c r="AD19" s="24"/>
      <c r="AE19" s="24">
        <f t="shared" si="13"/>
        <v>1790</v>
      </c>
      <c r="AF19" s="24"/>
      <c r="AG19" s="24"/>
      <c r="AH19" s="24">
        <f t="shared" si="14"/>
        <v>0</v>
      </c>
      <c r="AI19" s="24"/>
      <c r="AJ19" s="24"/>
      <c r="AK19" s="24">
        <f t="shared" si="15"/>
        <v>0</v>
      </c>
      <c r="AL19" s="24">
        <v>72</v>
      </c>
      <c r="AM19" s="24">
        <f>29+215</f>
        <v>244</v>
      </c>
      <c r="AN19" s="24">
        <f t="shared" si="16"/>
        <v>316</v>
      </c>
      <c r="AO19" s="24"/>
      <c r="AP19" s="24"/>
      <c r="AQ19" s="24">
        <f t="shared" ref="AQ19" si="31">AP19+AO19</f>
        <v>0</v>
      </c>
      <c r="AR19" s="24"/>
      <c r="AS19" s="24"/>
      <c r="AT19" s="24">
        <f t="shared" si="18"/>
        <v>0</v>
      </c>
      <c r="AU19" s="24">
        <v>1516</v>
      </c>
      <c r="AV19" s="24">
        <v>7481</v>
      </c>
      <c r="AW19" s="24">
        <f t="shared" si="19"/>
        <v>8997</v>
      </c>
      <c r="AX19" s="24"/>
      <c r="AY19" s="24"/>
      <c r="AZ19" s="24">
        <f t="shared" si="20"/>
        <v>0</v>
      </c>
      <c r="BA19" s="24">
        <v>11972</v>
      </c>
      <c r="BB19" s="24">
        <v>640</v>
      </c>
      <c r="BC19" s="24">
        <f t="shared" si="21"/>
        <v>12612</v>
      </c>
      <c r="BD19" s="24"/>
      <c r="BE19" s="24"/>
      <c r="BF19" s="24">
        <f t="shared" si="22"/>
        <v>0</v>
      </c>
      <c r="BG19" s="24">
        <v>299</v>
      </c>
      <c r="BH19" s="24">
        <f>1996+41</f>
        <v>2037</v>
      </c>
      <c r="BI19" s="24">
        <f t="shared" si="23"/>
        <v>2336</v>
      </c>
      <c r="BJ19" s="24"/>
      <c r="BK19" s="24"/>
      <c r="BL19" s="24">
        <f t="shared" si="2"/>
        <v>0</v>
      </c>
      <c r="BM19" s="24">
        <f>2852-223</f>
        <v>2629</v>
      </c>
      <c r="BN19" s="24">
        <f>14605-1142</f>
        <v>13463</v>
      </c>
      <c r="BO19" s="24">
        <f t="shared" si="24"/>
        <v>16092</v>
      </c>
      <c r="BP19" s="24">
        <v>2678</v>
      </c>
      <c r="BQ19" s="24">
        <v>13734</v>
      </c>
      <c r="BR19" s="24">
        <f t="shared" si="25"/>
        <v>16412</v>
      </c>
      <c r="BS19" s="24">
        <v>11908</v>
      </c>
      <c r="BT19" s="24">
        <v>7458</v>
      </c>
      <c r="BU19" s="24">
        <f t="shared" si="26"/>
        <v>19366</v>
      </c>
      <c r="BV19" s="24"/>
      <c r="BW19" s="24"/>
      <c r="BX19" s="24">
        <f t="shared" si="3"/>
        <v>0</v>
      </c>
      <c r="BY19" s="24">
        <v>12248</v>
      </c>
      <c r="BZ19" s="24">
        <v>18123</v>
      </c>
      <c r="CA19" s="24">
        <f t="shared" si="27"/>
        <v>30371</v>
      </c>
      <c r="CB19" s="24">
        <f>5372+16149+1201</f>
        <v>22722</v>
      </c>
      <c r="CC19" s="24">
        <f>24972+75071+5582</f>
        <v>105625</v>
      </c>
      <c r="CD19" s="24">
        <f t="shared" si="28"/>
        <v>128347</v>
      </c>
      <c r="CE19" s="24"/>
      <c r="CF19" s="24"/>
      <c r="CG19" s="24">
        <f t="shared" si="29"/>
        <v>0</v>
      </c>
      <c r="CH19" s="24">
        <v>-17008</v>
      </c>
      <c r="CI19" s="24">
        <v>138931</v>
      </c>
      <c r="CJ19" s="24">
        <f t="shared" si="4"/>
        <v>121923</v>
      </c>
      <c r="CK19" s="24">
        <v>6649.76</v>
      </c>
      <c r="CL19" s="24">
        <v>148718.37</v>
      </c>
      <c r="CM19" s="24">
        <f t="shared" si="30"/>
        <v>155368.13</v>
      </c>
      <c r="CN19" s="24">
        <f>212+203</f>
        <v>415</v>
      </c>
      <c r="CO19" s="24">
        <f>691+662</f>
        <v>1353</v>
      </c>
      <c r="CP19" s="24">
        <f t="shared" si="5"/>
        <v>1768</v>
      </c>
    </row>
    <row r="20" spans="1:94" s="4" customFormat="1" ht="15" customHeight="1" x14ac:dyDescent="0.25">
      <c r="A20" s="38" t="s">
        <v>165</v>
      </c>
      <c r="B20" s="26">
        <f t="shared" ref="B20:BM20" si="32">SUM(B6:B19)</f>
        <v>89210</v>
      </c>
      <c r="C20" s="26">
        <f t="shared" si="32"/>
        <v>82168</v>
      </c>
      <c r="D20" s="26">
        <f t="shared" si="32"/>
        <v>171378</v>
      </c>
      <c r="E20" s="26">
        <f t="shared" si="32"/>
        <v>35334</v>
      </c>
      <c r="F20" s="26">
        <f t="shared" si="32"/>
        <v>143639</v>
      </c>
      <c r="G20" s="26">
        <f t="shared" si="32"/>
        <v>178973</v>
      </c>
      <c r="H20" s="26">
        <f t="shared" si="32"/>
        <v>235817</v>
      </c>
      <c r="I20" s="26">
        <f t="shared" si="32"/>
        <v>880308</v>
      </c>
      <c r="J20" s="26">
        <f t="shared" si="32"/>
        <v>1116125</v>
      </c>
      <c r="K20" s="26">
        <f t="shared" si="32"/>
        <v>705966</v>
      </c>
      <c r="L20" s="26">
        <f t="shared" si="32"/>
        <v>1444140</v>
      </c>
      <c r="M20" s="26">
        <f t="shared" si="32"/>
        <v>2150106</v>
      </c>
      <c r="N20" s="26">
        <f t="shared" si="32"/>
        <v>154527</v>
      </c>
      <c r="O20" s="26">
        <f t="shared" si="32"/>
        <v>230730</v>
      </c>
      <c r="P20" s="26">
        <f t="shared" si="32"/>
        <v>385257</v>
      </c>
      <c r="Q20" s="26">
        <f t="shared" si="32"/>
        <v>149161</v>
      </c>
      <c r="R20" s="26">
        <f t="shared" si="32"/>
        <v>1086137</v>
      </c>
      <c r="S20" s="26">
        <f t="shared" si="32"/>
        <v>1235298</v>
      </c>
      <c r="T20" s="26">
        <f t="shared" si="32"/>
        <v>663281.68999999994</v>
      </c>
      <c r="U20" s="26">
        <f t="shared" si="32"/>
        <v>663281.68999999994</v>
      </c>
      <c r="V20" s="26">
        <f t="shared" si="32"/>
        <v>1326563.3800000001</v>
      </c>
      <c r="W20" s="26">
        <f t="shared" si="32"/>
        <v>6625</v>
      </c>
      <c r="X20" s="26">
        <f t="shared" si="32"/>
        <v>30981</v>
      </c>
      <c r="Y20" s="26">
        <f t="shared" si="32"/>
        <v>37606</v>
      </c>
      <c r="Z20" s="26">
        <f t="shared" si="32"/>
        <v>125026.53</v>
      </c>
      <c r="AA20" s="26">
        <f t="shared" si="32"/>
        <v>438654.69000000006</v>
      </c>
      <c r="AB20" s="26">
        <f t="shared" si="32"/>
        <v>563681.22</v>
      </c>
      <c r="AC20" s="26">
        <f t="shared" si="32"/>
        <v>128255</v>
      </c>
      <c r="AD20" s="26">
        <f t="shared" si="32"/>
        <v>753045</v>
      </c>
      <c r="AE20" s="26">
        <f t="shared" si="32"/>
        <v>881300</v>
      </c>
      <c r="AF20" s="26">
        <f t="shared" si="32"/>
        <v>330547</v>
      </c>
      <c r="AG20" s="26">
        <f t="shared" si="32"/>
        <v>1287866</v>
      </c>
      <c r="AH20" s="26">
        <f t="shared" si="32"/>
        <v>1618413</v>
      </c>
      <c r="AI20" s="26">
        <f t="shared" si="32"/>
        <v>852344</v>
      </c>
      <c r="AJ20" s="26">
        <f t="shared" si="32"/>
        <v>2789791</v>
      </c>
      <c r="AK20" s="26">
        <f t="shared" si="32"/>
        <v>3642135</v>
      </c>
      <c r="AL20" s="26">
        <f t="shared" si="32"/>
        <v>271961</v>
      </c>
      <c r="AM20" s="26">
        <f t="shared" si="32"/>
        <v>928981</v>
      </c>
      <c r="AN20" s="26">
        <f t="shared" si="32"/>
        <v>1200942</v>
      </c>
      <c r="AO20" s="26">
        <f t="shared" si="32"/>
        <v>31389</v>
      </c>
      <c r="AP20" s="26">
        <f t="shared" si="32"/>
        <v>108481</v>
      </c>
      <c r="AQ20" s="26">
        <f t="shared" si="32"/>
        <v>139870</v>
      </c>
      <c r="AR20" s="26">
        <f t="shared" si="32"/>
        <v>77724</v>
      </c>
      <c r="AS20" s="26">
        <f t="shared" si="32"/>
        <v>238620</v>
      </c>
      <c r="AT20" s="26">
        <f t="shared" si="32"/>
        <v>316344</v>
      </c>
      <c r="AU20" s="26">
        <f t="shared" si="32"/>
        <v>71375</v>
      </c>
      <c r="AV20" s="26">
        <f t="shared" si="32"/>
        <v>352197</v>
      </c>
      <c r="AW20" s="26">
        <f t="shared" si="32"/>
        <v>423572</v>
      </c>
      <c r="AX20" s="26">
        <f t="shared" si="32"/>
        <v>29554.570000000003</v>
      </c>
      <c r="AY20" s="26">
        <f t="shared" si="32"/>
        <v>61910.049999999988</v>
      </c>
      <c r="AZ20" s="26">
        <f t="shared" si="32"/>
        <v>91464.62</v>
      </c>
      <c r="BA20" s="26">
        <f t="shared" si="32"/>
        <v>76299</v>
      </c>
      <c r="BB20" s="26">
        <f t="shared" si="32"/>
        <v>162852</v>
      </c>
      <c r="BC20" s="26">
        <f t="shared" si="32"/>
        <v>239151</v>
      </c>
      <c r="BD20" s="26">
        <f t="shared" si="32"/>
        <v>106513.22</v>
      </c>
      <c r="BE20" s="26">
        <f t="shared" si="32"/>
        <v>2685332.5400000005</v>
      </c>
      <c r="BF20" s="26">
        <f t="shared" si="32"/>
        <v>2791845.7600000002</v>
      </c>
      <c r="BG20" s="26">
        <f t="shared" si="32"/>
        <v>5378</v>
      </c>
      <c r="BH20" s="26">
        <f t="shared" si="32"/>
        <v>26915</v>
      </c>
      <c r="BI20" s="26">
        <f t="shared" si="32"/>
        <v>32293</v>
      </c>
      <c r="BJ20" s="26">
        <f t="shared" si="32"/>
        <v>14574</v>
      </c>
      <c r="BK20" s="26">
        <f t="shared" si="32"/>
        <v>63763</v>
      </c>
      <c r="BL20" s="26">
        <f t="shared" si="32"/>
        <v>78337</v>
      </c>
      <c r="BM20" s="26">
        <f t="shared" si="32"/>
        <v>223724</v>
      </c>
      <c r="BN20" s="26">
        <f t="shared" ref="BN20:CP20" si="33">SUM(BN6:BN19)</f>
        <v>1145655</v>
      </c>
      <c r="BO20" s="26">
        <f t="shared" si="33"/>
        <v>1369379</v>
      </c>
      <c r="BP20" s="26">
        <f t="shared" si="33"/>
        <v>95085</v>
      </c>
      <c r="BQ20" s="26">
        <f t="shared" si="33"/>
        <v>487663</v>
      </c>
      <c r="BR20" s="26">
        <f t="shared" si="33"/>
        <v>582748</v>
      </c>
      <c r="BS20" s="26">
        <f t="shared" si="33"/>
        <v>229731</v>
      </c>
      <c r="BT20" s="26">
        <f t="shared" si="33"/>
        <v>831050</v>
      </c>
      <c r="BU20" s="26">
        <f t="shared" si="33"/>
        <v>1060781</v>
      </c>
      <c r="BV20" s="26">
        <f t="shared" si="33"/>
        <v>131391.19</v>
      </c>
      <c r="BW20" s="26">
        <f t="shared" si="33"/>
        <v>926326</v>
      </c>
      <c r="BX20" s="26">
        <f t="shared" si="33"/>
        <v>1057717.19</v>
      </c>
      <c r="BY20" s="26">
        <f t="shared" si="33"/>
        <v>405066</v>
      </c>
      <c r="BZ20" s="26">
        <f t="shared" si="33"/>
        <v>599374</v>
      </c>
      <c r="CA20" s="26">
        <f t="shared" si="33"/>
        <v>1004440</v>
      </c>
      <c r="CB20" s="26">
        <f t="shared" si="33"/>
        <v>353602</v>
      </c>
      <c r="CC20" s="26">
        <f t="shared" si="33"/>
        <v>1643795</v>
      </c>
      <c r="CD20" s="26">
        <f t="shared" si="33"/>
        <v>1997397</v>
      </c>
      <c r="CE20" s="26">
        <f t="shared" si="33"/>
        <v>0</v>
      </c>
      <c r="CF20" s="26">
        <f t="shared" si="33"/>
        <v>0</v>
      </c>
      <c r="CG20" s="26">
        <f t="shared" si="33"/>
        <v>0</v>
      </c>
      <c r="CH20" s="26">
        <f t="shared" si="33"/>
        <v>-371904</v>
      </c>
      <c r="CI20" s="26">
        <f t="shared" si="33"/>
        <v>3037877</v>
      </c>
      <c r="CJ20" s="26">
        <f t="shared" si="33"/>
        <v>2665973</v>
      </c>
      <c r="CK20" s="26">
        <f t="shared" si="33"/>
        <v>145227.62</v>
      </c>
      <c r="CL20" s="26">
        <f t="shared" si="33"/>
        <v>3247940.8200000003</v>
      </c>
      <c r="CM20" s="26">
        <f t="shared" si="33"/>
        <v>3393168.44</v>
      </c>
      <c r="CN20" s="26">
        <f t="shared" si="33"/>
        <v>70299</v>
      </c>
      <c r="CO20" s="26">
        <f t="shared" si="33"/>
        <v>228767</v>
      </c>
      <c r="CP20" s="26">
        <f t="shared" si="33"/>
        <v>299066</v>
      </c>
    </row>
    <row r="21" spans="1:94" ht="15" customHeight="1" x14ac:dyDescent="0.25">
      <c r="A21" s="38" t="s">
        <v>166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</row>
    <row r="22" spans="1:94" ht="30" x14ac:dyDescent="0.25">
      <c r="A22" s="36" t="s">
        <v>155</v>
      </c>
      <c r="B22" s="24">
        <v>5814</v>
      </c>
      <c r="C22" s="24">
        <v>5355</v>
      </c>
      <c r="D22" s="24">
        <f t="shared" ref="D22:D35" si="34">B22+C22</f>
        <v>11169</v>
      </c>
      <c r="E22" s="24">
        <v>2479</v>
      </c>
      <c r="F22" s="24"/>
      <c r="G22" s="24">
        <f t="shared" ref="G22:G35" si="35">F22+E22</f>
        <v>2479</v>
      </c>
      <c r="H22" s="24">
        <v>8445</v>
      </c>
      <c r="I22" s="24">
        <v>31525</v>
      </c>
      <c r="J22" s="24">
        <f t="shared" ref="J22:J35" si="36">I22+H22</f>
        <v>39970</v>
      </c>
      <c r="K22" s="24"/>
      <c r="L22" s="24">
        <v>7644</v>
      </c>
      <c r="M22" s="24">
        <f t="shared" ref="M22:M35" si="37">L22+K22</f>
        <v>7644</v>
      </c>
      <c r="N22" s="24">
        <v>499</v>
      </c>
      <c r="O22" s="24">
        <v>3490</v>
      </c>
      <c r="P22" s="24">
        <f t="shared" ref="P22:P35" si="38">O22+N22</f>
        <v>3989</v>
      </c>
      <c r="Q22" s="24">
        <v>304</v>
      </c>
      <c r="R22" s="24">
        <v>2213</v>
      </c>
      <c r="S22" s="24">
        <f t="shared" ref="S22:S35" si="39">R22+Q22</f>
        <v>2517</v>
      </c>
      <c r="T22" s="24">
        <v>12182.63</v>
      </c>
      <c r="U22" s="24">
        <v>12182.63</v>
      </c>
      <c r="V22" s="24">
        <f t="shared" ref="V22:V35" si="40">U22+T22</f>
        <v>24365.26</v>
      </c>
      <c r="W22" s="24"/>
      <c r="X22" s="24">
        <v>9</v>
      </c>
      <c r="Y22" s="24">
        <f t="shared" ref="Y22:Y35" si="41">X22+W22</f>
        <v>9</v>
      </c>
      <c r="Z22" s="24">
        <v>110.81</v>
      </c>
      <c r="AA22" s="24">
        <v>388.78</v>
      </c>
      <c r="AB22" s="24">
        <f t="shared" ref="AB22:AB35" si="42">AA22+Z22</f>
        <v>499.59</v>
      </c>
      <c r="AC22" s="24"/>
      <c r="AD22" s="24">
        <v>7712</v>
      </c>
      <c r="AE22" s="24">
        <f t="shared" ref="AE22:AE35" si="43">AD22+AC22</f>
        <v>7712</v>
      </c>
      <c r="AF22" s="24">
        <v>9352</v>
      </c>
      <c r="AG22" s="24">
        <v>36438</v>
      </c>
      <c r="AH22" s="24">
        <f t="shared" ref="AH22:AH35" si="44">AG22+AF22</f>
        <v>45790</v>
      </c>
      <c r="AI22" s="24">
        <v>28724</v>
      </c>
      <c r="AJ22" s="24">
        <v>89125</v>
      </c>
      <c r="AK22" s="24">
        <f t="shared" ref="AK22:AK35" si="45">AJ22+AI22</f>
        <v>117849</v>
      </c>
      <c r="AL22" s="24">
        <v>3811</v>
      </c>
      <c r="AM22" s="24">
        <v>13017</v>
      </c>
      <c r="AN22" s="24">
        <f t="shared" ref="AN22:AN35" si="46">AM22+AL22</f>
        <v>16828</v>
      </c>
      <c r="AO22" s="24"/>
      <c r="AP22" s="24"/>
      <c r="AQ22" s="24">
        <f t="shared" ref="AQ22:AQ35" si="47">AP22+AO22</f>
        <v>0</v>
      </c>
      <c r="AR22" s="24">
        <v>1967</v>
      </c>
      <c r="AS22" s="24">
        <v>6039</v>
      </c>
      <c r="AT22" s="24">
        <f t="shared" ref="AT22:AT35" si="48">AS22+AR22</f>
        <v>8006</v>
      </c>
      <c r="AU22" s="24"/>
      <c r="AV22" s="24"/>
      <c r="AW22" s="24">
        <f t="shared" ref="AW22:AW35" si="49">AV22+AU22</f>
        <v>0</v>
      </c>
      <c r="AX22" s="24">
        <v>493.36</v>
      </c>
      <c r="AY22" s="24">
        <v>2496.4</v>
      </c>
      <c r="AZ22" s="24">
        <f t="shared" ref="AZ22:AZ35" si="50">AY22+AX22</f>
        <v>2989.76</v>
      </c>
      <c r="BA22" s="24">
        <v>3492</v>
      </c>
      <c r="BB22" s="24">
        <v>1999</v>
      </c>
      <c r="BC22" s="24">
        <f t="shared" ref="BC22:BC35" si="51">BB22+BA22</f>
        <v>5491</v>
      </c>
      <c r="BD22" s="24">
        <v>5240.59</v>
      </c>
      <c r="BE22" s="24">
        <v>132121.91</v>
      </c>
      <c r="BF22" s="24">
        <f t="shared" ref="BF22:BF35" si="52">BE22+BD22</f>
        <v>137362.5</v>
      </c>
      <c r="BG22" s="24">
        <v>5464</v>
      </c>
      <c r="BH22" s="24">
        <v>8952</v>
      </c>
      <c r="BI22" s="24">
        <f t="shared" ref="BI22:BI35" si="53">BH22+BG22</f>
        <v>14416</v>
      </c>
      <c r="BJ22" s="24"/>
      <c r="BK22" s="24"/>
      <c r="BL22" s="24">
        <f t="shared" ref="BL22:BL35" si="54">BK22+BJ22</f>
        <v>0</v>
      </c>
      <c r="BM22" s="24"/>
      <c r="BN22" s="24"/>
      <c r="BO22" s="24">
        <f t="shared" ref="BO22:BO35" si="55">BN22+BM22</f>
        <v>0</v>
      </c>
      <c r="BP22" s="24">
        <v>1461</v>
      </c>
      <c r="BQ22" s="24">
        <v>7491</v>
      </c>
      <c r="BR22" s="24">
        <f t="shared" ref="BR22:BR35" si="56">BQ22+BP22</f>
        <v>8952</v>
      </c>
      <c r="BS22" s="24">
        <v>358</v>
      </c>
      <c r="BT22" s="24"/>
      <c r="BU22" s="24">
        <f t="shared" ref="BU22:BU35" si="57">BT22+BS22</f>
        <v>358</v>
      </c>
      <c r="BV22" s="24"/>
      <c r="BW22" s="24">
        <v>517</v>
      </c>
      <c r="BX22" s="24">
        <f t="shared" ref="BX22:BX34" si="58">BW22+BV22</f>
        <v>517</v>
      </c>
      <c r="BY22" s="24">
        <v>8552</v>
      </c>
      <c r="BZ22" s="24">
        <v>12654</v>
      </c>
      <c r="CA22" s="24">
        <f t="shared" ref="CA22:CA35" si="59">BZ22+BY22</f>
        <v>21206</v>
      </c>
      <c r="CB22" s="24"/>
      <c r="CC22" s="24"/>
      <c r="CD22" s="24">
        <f t="shared" ref="CD22:CD35" si="60">CC22+CB22</f>
        <v>0</v>
      </c>
      <c r="CE22" s="24"/>
      <c r="CF22" s="24"/>
      <c r="CG22" s="24">
        <f t="shared" ref="CG22:CG35" si="61">CF22+CE22</f>
        <v>0</v>
      </c>
      <c r="CH22" s="24">
        <v>-6344</v>
      </c>
      <c r="CI22" s="24">
        <v>51823</v>
      </c>
      <c r="CJ22" s="24">
        <f t="shared" ref="CJ22:CJ35" si="62">CI22+CH22</f>
        <v>45479</v>
      </c>
      <c r="CK22" s="24">
        <v>2498.8200000000002</v>
      </c>
      <c r="CL22" s="24">
        <v>55884.81</v>
      </c>
      <c r="CM22" s="24">
        <f t="shared" ref="CM22:CM35" si="63">CL22+CK22</f>
        <v>58383.63</v>
      </c>
      <c r="CN22" s="24">
        <v>6365</v>
      </c>
      <c r="CO22" s="24">
        <v>20712</v>
      </c>
      <c r="CP22" s="24">
        <f t="shared" ref="CP22:CP35" si="64">CO22+CN22</f>
        <v>27077</v>
      </c>
    </row>
    <row r="23" spans="1:94" ht="15" customHeight="1" x14ac:dyDescent="0.25">
      <c r="A23" s="36" t="s">
        <v>156</v>
      </c>
      <c r="B23" s="24"/>
      <c r="C23" s="24"/>
      <c r="D23" s="24">
        <f t="shared" si="34"/>
        <v>0</v>
      </c>
      <c r="E23" s="24">
        <v>1505</v>
      </c>
      <c r="F23" s="24">
        <v>501</v>
      </c>
      <c r="G23" s="24">
        <f t="shared" si="35"/>
        <v>2006</v>
      </c>
      <c r="H23" s="24">
        <v>2768</v>
      </c>
      <c r="I23" s="24">
        <v>10332</v>
      </c>
      <c r="J23" s="24">
        <f t="shared" si="36"/>
        <v>13100</v>
      </c>
      <c r="K23" s="24"/>
      <c r="L23" s="24"/>
      <c r="M23" s="24">
        <f t="shared" si="37"/>
        <v>0</v>
      </c>
      <c r="N23" s="24">
        <v>150</v>
      </c>
      <c r="O23" s="24">
        <v>478</v>
      </c>
      <c r="P23" s="24">
        <f t="shared" si="38"/>
        <v>628</v>
      </c>
      <c r="Q23" s="24"/>
      <c r="R23" s="24"/>
      <c r="S23" s="24">
        <f t="shared" si="39"/>
        <v>0</v>
      </c>
      <c r="T23" s="24"/>
      <c r="U23" s="24"/>
      <c r="V23" s="24">
        <f t="shared" si="40"/>
        <v>0</v>
      </c>
      <c r="W23" s="24">
        <v>86</v>
      </c>
      <c r="X23" s="24">
        <v>480</v>
      </c>
      <c r="Y23" s="24">
        <f t="shared" si="41"/>
        <v>566</v>
      </c>
      <c r="Z23" s="24"/>
      <c r="AA23" s="24"/>
      <c r="AB23" s="24">
        <f t="shared" si="42"/>
        <v>0</v>
      </c>
      <c r="AC23" s="24"/>
      <c r="AD23" s="24"/>
      <c r="AE23" s="24">
        <f t="shared" si="43"/>
        <v>0</v>
      </c>
      <c r="AF23" s="24">
        <v>7440</v>
      </c>
      <c r="AG23" s="24">
        <v>28988</v>
      </c>
      <c r="AH23" s="24">
        <f t="shared" si="44"/>
        <v>36428</v>
      </c>
      <c r="AI23" s="24">
        <v>28472</v>
      </c>
      <c r="AJ23" s="24">
        <v>88343</v>
      </c>
      <c r="AK23" s="24">
        <f t="shared" si="45"/>
        <v>116815</v>
      </c>
      <c r="AL23" s="24">
        <v>26589</v>
      </c>
      <c r="AM23" s="24">
        <v>90827</v>
      </c>
      <c r="AN23" s="24">
        <f t="shared" si="46"/>
        <v>117416</v>
      </c>
      <c r="AO23" s="24"/>
      <c r="AP23" s="24"/>
      <c r="AQ23" s="24">
        <f t="shared" si="47"/>
        <v>0</v>
      </c>
      <c r="AR23" s="24">
        <v>861</v>
      </c>
      <c r="AS23" s="24">
        <v>2644</v>
      </c>
      <c r="AT23" s="24">
        <f t="shared" si="48"/>
        <v>3505</v>
      </c>
      <c r="AU23" s="24"/>
      <c r="AV23" s="24"/>
      <c r="AW23" s="24">
        <f t="shared" si="49"/>
        <v>0</v>
      </c>
      <c r="AX23" s="24"/>
      <c r="AY23" s="24"/>
      <c r="AZ23" s="24">
        <f t="shared" si="50"/>
        <v>0</v>
      </c>
      <c r="BA23" s="24">
        <v>502</v>
      </c>
      <c r="BB23" s="24">
        <v>1003</v>
      </c>
      <c r="BC23" s="24">
        <f t="shared" si="51"/>
        <v>1505</v>
      </c>
      <c r="BD23" s="24"/>
      <c r="BE23" s="24"/>
      <c r="BF23" s="24">
        <f t="shared" si="52"/>
        <v>0</v>
      </c>
      <c r="BG23" s="24"/>
      <c r="BH23" s="24"/>
      <c r="BI23" s="24">
        <f t="shared" si="53"/>
        <v>0</v>
      </c>
      <c r="BJ23" s="24"/>
      <c r="BK23" s="24"/>
      <c r="BL23" s="24">
        <f t="shared" si="54"/>
        <v>0</v>
      </c>
      <c r="BM23" s="24"/>
      <c r="BN23" s="24"/>
      <c r="BO23" s="24">
        <f t="shared" si="55"/>
        <v>0</v>
      </c>
      <c r="BP23" s="24"/>
      <c r="BQ23" s="24"/>
      <c r="BR23" s="24">
        <f t="shared" si="56"/>
        <v>0</v>
      </c>
      <c r="BS23" s="24"/>
      <c r="BT23" s="24">
        <v>2504</v>
      </c>
      <c r="BU23" s="24">
        <f t="shared" si="57"/>
        <v>2504</v>
      </c>
      <c r="BV23" s="24">
        <v>1799.98</v>
      </c>
      <c r="BW23" s="24">
        <v>6721</v>
      </c>
      <c r="BX23" s="24">
        <f t="shared" si="58"/>
        <v>8520.98</v>
      </c>
      <c r="BY23" s="24">
        <v>6475</v>
      </c>
      <c r="BZ23" s="24">
        <v>9581</v>
      </c>
      <c r="CA23" s="24">
        <f t="shared" si="59"/>
        <v>16056</v>
      </c>
      <c r="CB23" s="24"/>
      <c r="CC23" s="24"/>
      <c r="CD23" s="24">
        <f t="shared" si="60"/>
        <v>0</v>
      </c>
      <c r="CE23" s="24"/>
      <c r="CF23" s="24"/>
      <c r="CG23" s="24">
        <f t="shared" si="61"/>
        <v>0</v>
      </c>
      <c r="CH23" s="24"/>
      <c r="CI23" s="24"/>
      <c r="CJ23" s="24">
        <f t="shared" si="62"/>
        <v>0</v>
      </c>
      <c r="CK23" s="24"/>
      <c r="CL23" s="24"/>
      <c r="CM23" s="24"/>
      <c r="CN23" s="24">
        <v>4729</v>
      </c>
      <c r="CO23" s="24">
        <v>15389</v>
      </c>
      <c r="CP23" s="24">
        <f t="shared" si="64"/>
        <v>20118</v>
      </c>
    </row>
    <row r="24" spans="1:94" ht="15" customHeight="1" x14ac:dyDescent="0.25">
      <c r="A24" s="36" t="s">
        <v>157</v>
      </c>
      <c r="B24" s="24"/>
      <c r="C24" s="24"/>
      <c r="D24" s="24">
        <f t="shared" si="34"/>
        <v>0</v>
      </c>
      <c r="E24" s="24"/>
      <c r="F24" s="24"/>
      <c r="G24" s="24">
        <f t="shared" si="35"/>
        <v>0</v>
      </c>
      <c r="H24" s="24"/>
      <c r="I24" s="24"/>
      <c r="J24" s="24">
        <f t="shared" si="36"/>
        <v>0</v>
      </c>
      <c r="K24" s="24"/>
      <c r="L24" s="24"/>
      <c r="M24" s="24">
        <f t="shared" si="37"/>
        <v>0</v>
      </c>
      <c r="N24" s="24"/>
      <c r="O24" s="24"/>
      <c r="P24" s="24">
        <f t="shared" si="38"/>
        <v>0</v>
      </c>
      <c r="Q24" s="24"/>
      <c r="R24" s="24"/>
      <c r="S24" s="24">
        <f t="shared" si="39"/>
        <v>0</v>
      </c>
      <c r="T24" s="24"/>
      <c r="U24" s="24"/>
      <c r="V24" s="24">
        <f t="shared" si="40"/>
        <v>0</v>
      </c>
      <c r="W24" s="24"/>
      <c r="X24" s="24"/>
      <c r="Y24" s="24">
        <f t="shared" si="41"/>
        <v>0</v>
      </c>
      <c r="Z24" s="24"/>
      <c r="AA24" s="24"/>
      <c r="AB24" s="24">
        <f t="shared" si="42"/>
        <v>0</v>
      </c>
      <c r="AC24" s="24"/>
      <c r="AD24" s="24"/>
      <c r="AE24" s="24">
        <f t="shared" si="43"/>
        <v>0</v>
      </c>
      <c r="AF24" s="24"/>
      <c r="AG24" s="24"/>
      <c r="AH24" s="24">
        <f t="shared" si="44"/>
        <v>0</v>
      </c>
      <c r="AI24" s="24"/>
      <c r="AJ24" s="24"/>
      <c r="AK24" s="24">
        <f t="shared" si="45"/>
        <v>0</v>
      </c>
      <c r="AL24" s="24"/>
      <c r="AM24" s="24"/>
      <c r="AN24" s="24">
        <f t="shared" si="46"/>
        <v>0</v>
      </c>
      <c r="AO24" s="24"/>
      <c r="AP24" s="24"/>
      <c r="AQ24" s="24">
        <f t="shared" si="47"/>
        <v>0</v>
      </c>
      <c r="AR24" s="24"/>
      <c r="AS24" s="24"/>
      <c r="AT24" s="24">
        <f t="shared" si="48"/>
        <v>0</v>
      </c>
      <c r="AU24" s="24"/>
      <c r="AV24" s="24"/>
      <c r="AW24" s="24">
        <f t="shared" si="49"/>
        <v>0</v>
      </c>
      <c r="AX24" s="24"/>
      <c r="AY24" s="24"/>
      <c r="AZ24" s="24">
        <f t="shared" si="50"/>
        <v>0</v>
      </c>
      <c r="BA24" s="24"/>
      <c r="BB24" s="24"/>
      <c r="BC24" s="24">
        <f t="shared" si="51"/>
        <v>0</v>
      </c>
      <c r="BD24" s="24"/>
      <c r="BE24" s="24"/>
      <c r="BF24" s="24">
        <f t="shared" si="52"/>
        <v>0</v>
      </c>
      <c r="BG24" s="24"/>
      <c r="BH24" s="24"/>
      <c r="BI24" s="24">
        <f t="shared" si="53"/>
        <v>0</v>
      </c>
      <c r="BJ24" s="24"/>
      <c r="BK24" s="24"/>
      <c r="BL24" s="24">
        <f t="shared" si="54"/>
        <v>0</v>
      </c>
      <c r="BM24" s="24"/>
      <c r="BN24" s="24"/>
      <c r="BO24" s="24">
        <f t="shared" si="55"/>
        <v>0</v>
      </c>
      <c r="BP24" s="24"/>
      <c r="BQ24" s="24"/>
      <c r="BR24" s="24">
        <f t="shared" si="56"/>
        <v>0</v>
      </c>
      <c r="BS24" s="24"/>
      <c r="BT24" s="24"/>
      <c r="BU24" s="24">
        <f t="shared" si="57"/>
        <v>0</v>
      </c>
      <c r="BV24" s="24"/>
      <c r="BW24" s="24"/>
      <c r="BX24" s="24">
        <f t="shared" si="58"/>
        <v>0</v>
      </c>
      <c r="BY24" s="24"/>
      <c r="BZ24" s="24"/>
      <c r="CA24" s="24">
        <f t="shared" si="59"/>
        <v>0</v>
      </c>
      <c r="CB24" s="24"/>
      <c r="CC24" s="24"/>
      <c r="CD24" s="24">
        <f t="shared" si="60"/>
        <v>0</v>
      </c>
      <c r="CE24" s="24"/>
      <c r="CF24" s="24"/>
      <c r="CG24" s="24">
        <f t="shared" si="61"/>
        <v>0</v>
      </c>
      <c r="CH24" s="24"/>
      <c r="CI24" s="24"/>
      <c r="CJ24" s="24">
        <f t="shared" si="62"/>
        <v>0</v>
      </c>
      <c r="CK24" s="24"/>
      <c r="CL24" s="24"/>
      <c r="CM24" s="24">
        <f t="shared" si="63"/>
        <v>0</v>
      </c>
      <c r="CN24" s="24"/>
      <c r="CO24" s="24"/>
      <c r="CP24" s="24">
        <f t="shared" si="64"/>
        <v>0</v>
      </c>
    </row>
    <row r="25" spans="1:94" ht="15" customHeight="1" x14ac:dyDescent="0.25">
      <c r="A25" s="36" t="s">
        <v>158</v>
      </c>
      <c r="B25" s="24"/>
      <c r="C25" s="24"/>
      <c r="D25" s="24">
        <f t="shared" si="34"/>
        <v>0</v>
      </c>
      <c r="E25" s="24"/>
      <c r="F25" s="24"/>
      <c r="G25" s="24">
        <f t="shared" si="35"/>
        <v>0</v>
      </c>
      <c r="H25" s="24"/>
      <c r="I25" s="24"/>
      <c r="J25" s="24">
        <f t="shared" si="36"/>
        <v>0</v>
      </c>
      <c r="K25" s="24"/>
      <c r="L25" s="24"/>
      <c r="M25" s="24">
        <f t="shared" si="37"/>
        <v>0</v>
      </c>
      <c r="N25" s="24"/>
      <c r="O25" s="24"/>
      <c r="P25" s="24">
        <f t="shared" si="38"/>
        <v>0</v>
      </c>
      <c r="Q25" s="24"/>
      <c r="R25" s="24"/>
      <c r="S25" s="24">
        <f t="shared" si="39"/>
        <v>0</v>
      </c>
      <c r="T25" s="24"/>
      <c r="U25" s="24"/>
      <c r="V25" s="24">
        <f t="shared" si="40"/>
        <v>0</v>
      </c>
      <c r="W25" s="24"/>
      <c r="X25" s="24"/>
      <c r="Y25" s="24">
        <f t="shared" si="41"/>
        <v>0</v>
      </c>
      <c r="Z25" s="24"/>
      <c r="AA25" s="24"/>
      <c r="AB25" s="24">
        <f t="shared" si="42"/>
        <v>0</v>
      </c>
      <c r="AC25" s="24"/>
      <c r="AD25" s="24"/>
      <c r="AE25" s="24">
        <f t="shared" si="43"/>
        <v>0</v>
      </c>
      <c r="AF25" s="24"/>
      <c r="AG25" s="24"/>
      <c r="AH25" s="24">
        <f t="shared" si="44"/>
        <v>0</v>
      </c>
      <c r="AI25" s="24"/>
      <c r="AJ25" s="24"/>
      <c r="AK25" s="24">
        <f t="shared" si="45"/>
        <v>0</v>
      </c>
      <c r="AL25" s="24"/>
      <c r="AM25" s="24"/>
      <c r="AN25" s="24">
        <f t="shared" si="46"/>
        <v>0</v>
      </c>
      <c r="AO25" s="24"/>
      <c r="AP25" s="24"/>
      <c r="AQ25" s="24">
        <f t="shared" si="47"/>
        <v>0</v>
      </c>
      <c r="AR25" s="24"/>
      <c r="AS25" s="24"/>
      <c r="AT25" s="24">
        <f t="shared" si="48"/>
        <v>0</v>
      </c>
      <c r="AU25" s="24"/>
      <c r="AV25" s="24"/>
      <c r="AW25" s="24">
        <f t="shared" si="49"/>
        <v>0</v>
      </c>
      <c r="AX25" s="24"/>
      <c r="AY25" s="24"/>
      <c r="AZ25" s="24">
        <f t="shared" si="50"/>
        <v>0</v>
      </c>
      <c r="BA25" s="24"/>
      <c r="BB25" s="24"/>
      <c r="BC25" s="24">
        <f t="shared" si="51"/>
        <v>0</v>
      </c>
      <c r="BD25" s="24"/>
      <c r="BE25" s="24"/>
      <c r="BF25" s="24">
        <f t="shared" si="52"/>
        <v>0</v>
      </c>
      <c r="BG25" s="24"/>
      <c r="BH25" s="24"/>
      <c r="BI25" s="24">
        <f t="shared" si="53"/>
        <v>0</v>
      </c>
      <c r="BJ25" s="24"/>
      <c r="BK25" s="24"/>
      <c r="BL25" s="24">
        <f t="shared" si="54"/>
        <v>0</v>
      </c>
      <c r="BM25" s="24"/>
      <c r="BN25" s="24">
        <v>31925</v>
      </c>
      <c r="BO25" s="24">
        <f t="shared" si="55"/>
        <v>31925</v>
      </c>
      <c r="BP25" s="24"/>
      <c r="BQ25" s="24"/>
      <c r="BR25" s="24">
        <f t="shared" si="56"/>
        <v>0</v>
      </c>
      <c r="BS25" s="24"/>
      <c r="BT25" s="24"/>
      <c r="BU25" s="24">
        <f t="shared" si="57"/>
        <v>0</v>
      </c>
      <c r="BV25" s="24"/>
      <c r="BW25" s="24"/>
      <c r="BX25" s="24">
        <f t="shared" si="58"/>
        <v>0</v>
      </c>
      <c r="BY25" s="24"/>
      <c r="BZ25" s="24"/>
      <c r="CA25" s="24">
        <f t="shared" si="59"/>
        <v>0</v>
      </c>
      <c r="CB25" s="24"/>
      <c r="CC25" s="24"/>
      <c r="CD25" s="24">
        <f t="shared" si="60"/>
        <v>0</v>
      </c>
      <c r="CE25" s="24"/>
      <c r="CF25" s="24"/>
      <c r="CG25" s="24">
        <f t="shared" si="61"/>
        <v>0</v>
      </c>
      <c r="CH25" s="24"/>
      <c r="CI25" s="24"/>
      <c r="CJ25" s="24">
        <f t="shared" si="62"/>
        <v>0</v>
      </c>
      <c r="CK25" s="24"/>
      <c r="CL25" s="24"/>
      <c r="CM25" s="24">
        <f t="shared" si="63"/>
        <v>0</v>
      </c>
      <c r="CN25" s="24"/>
      <c r="CO25" s="24"/>
      <c r="CP25" s="24">
        <f t="shared" si="64"/>
        <v>0</v>
      </c>
    </row>
    <row r="26" spans="1:94" ht="15" customHeight="1" x14ac:dyDescent="0.25">
      <c r="A26" s="36" t="s">
        <v>159</v>
      </c>
      <c r="B26" s="24"/>
      <c r="C26" s="24"/>
      <c r="D26" s="24">
        <f t="shared" si="34"/>
        <v>0</v>
      </c>
      <c r="E26" s="24"/>
      <c r="F26" s="24"/>
      <c r="G26" s="24">
        <f t="shared" si="35"/>
        <v>0</v>
      </c>
      <c r="H26" s="24"/>
      <c r="I26" s="24"/>
      <c r="J26" s="24">
        <f t="shared" si="36"/>
        <v>0</v>
      </c>
      <c r="K26" s="24"/>
      <c r="L26" s="24"/>
      <c r="M26" s="24">
        <f t="shared" si="37"/>
        <v>0</v>
      </c>
      <c r="N26" s="24"/>
      <c r="O26" s="24"/>
      <c r="P26" s="24">
        <f t="shared" si="38"/>
        <v>0</v>
      </c>
      <c r="Q26" s="24"/>
      <c r="R26" s="24"/>
      <c r="S26" s="24">
        <f t="shared" si="39"/>
        <v>0</v>
      </c>
      <c r="T26" s="24"/>
      <c r="U26" s="24"/>
      <c r="V26" s="24">
        <f t="shared" si="40"/>
        <v>0</v>
      </c>
      <c r="W26" s="24">
        <v>994</v>
      </c>
      <c r="X26" s="24">
        <v>1304</v>
      </c>
      <c r="Y26" s="24">
        <f t="shared" si="41"/>
        <v>2298</v>
      </c>
      <c r="Z26" s="24"/>
      <c r="AA26" s="24"/>
      <c r="AB26" s="24">
        <f t="shared" si="42"/>
        <v>0</v>
      </c>
      <c r="AC26" s="24"/>
      <c r="AD26" s="24"/>
      <c r="AE26" s="24">
        <f t="shared" si="43"/>
        <v>0</v>
      </c>
      <c r="AF26" s="24">
        <v>1548</v>
      </c>
      <c r="AG26" s="24">
        <v>6031</v>
      </c>
      <c r="AH26" s="24">
        <f t="shared" si="44"/>
        <v>7579</v>
      </c>
      <c r="AI26" s="24"/>
      <c r="AJ26" s="24"/>
      <c r="AK26" s="24">
        <f t="shared" si="45"/>
        <v>0</v>
      </c>
      <c r="AL26" s="24"/>
      <c r="AM26" s="24"/>
      <c r="AN26" s="24">
        <f t="shared" si="46"/>
        <v>0</v>
      </c>
      <c r="AO26" s="24"/>
      <c r="AP26" s="24"/>
      <c r="AQ26" s="24">
        <f t="shared" si="47"/>
        <v>0</v>
      </c>
      <c r="AR26" s="24"/>
      <c r="AS26" s="24"/>
      <c r="AT26" s="24">
        <f t="shared" si="48"/>
        <v>0</v>
      </c>
      <c r="AU26" s="24"/>
      <c r="AV26" s="24"/>
      <c r="AW26" s="24">
        <f t="shared" si="49"/>
        <v>0</v>
      </c>
      <c r="AX26" s="24"/>
      <c r="AY26" s="24"/>
      <c r="AZ26" s="24">
        <f t="shared" si="50"/>
        <v>0</v>
      </c>
      <c r="BA26" s="24">
        <v>320</v>
      </c>
      <c r="BB26" s="24"/>
      <c r="BC26" s="24">
        <f t="shared" si="51"/>
        <v>320</v>
      </c>
      <c r="BD26" s="24"/>
      <c r="BE26" s="24"/>
      <c r="BF26" s="24">
        <f t="shared" si="52"/>
        <v>0</v>
      </c>
      <c r="BG26" s="24"/>
      <c r="BH26" s="24"/>
      <c r="BI26" s="24">
        <f t="shared" si="53"/>
        <v>0</v>
      </c>
      <c r="BJ26" s="24"/>
      <c r="BK26" s="24"/>
      <c r="BL26" s="24">
        <f t="shared" si="54"/>
        <v>0</v>
      </c>
      <c r="BM26" s="24">
        <v>6234</v>
      </c>
      <c r="BN26" s="24"/>
      <c r="BO26" s="24">
        <f t="shared" si="55"/>
        <v>6234</v>
      </c>
      <c r="BP26" s="24">
        <v>6290</v>
      </c>
      <c r="BQ26" s="24">
        <v>32258</v>
      </c>
      <c r="BR26" s="24">
        <f t="shared" si="56"/>
        <v>38548</v>
      </c>
      <c r="BS26" s="24"/>
      <c r="BT26" s="24"/>
      <c r="BU26" s="24">
        <f t="shared" si="57"/>
        <v>0</v>
      </c>
      <c r="BV26" s="24"/>
      <c r="BW26" s="24"/>
      <c r="BX26" s="24">
        <f t="shared" si="58"/>
        <v>0</v>
      </c>
      <c r="BY26" s="24"/>
      <c r="BZ26" s="24"/>
      <c r="CA26" s="24">
        <f t="shared" si="59"/>
        <v>0</v>
      </c>
      <c r="CB26" s="24"/>
      <c r="CC26" s="24"/>
      <c r="CD26" s="24">
        <f t="shared" si="60"/>
        <v>0</v>
      </c>
      <c r="CE26" s="24"/>
      <c r="CF26" s="24"/>
      <c r="CG26" s="24">
        <f t="shared" si="61"/>
        <v>0</v>
      </c>
      <c r="CH26" s="24"/>
      <c r="CI26" s="24"/>
      <c r="CJ26" s="24">
        <f t="shared" si="62"/>
        <v>0</v>
      </c>
      <c r="CK26" s="24"/>
      <c r="CL26" s="24"/>
      <c r="CM26" s="24">
        <f t="shared" si="63"/>
        <v>0</v>
      </c>
      <c r="CN26" s="24"/>
      <c r="CO26" s="24"/>
      <c r="CP26" s="24">
        <f t="shared" si="64"/>
        <v>0</v>
      </c>
    </row>
    <row r="27" spans="1:94" ht="15" customHeight="1" x14ac:dyDescent="0.25">
      <c r="A27" s="36" t="s">
        <v>160</v>
      </c>
      <c r="B27" s="24"/>
      <c r="C27" s="24"/>
      <c r="D27" s="24">
        <f t="shared" si="34"/>
        <v>0</v>
      </c>
      <c r="E27" s="24"/>
      <c r="F27" s="24"/>
      <c r="G27" s="24">
        <f t="shared" si="35"/>
        <v>0</v>
      </c>
      <c r="H27" s="24"/>
      <c r="I27" s="24"/>
      <c r="J27" s="24">
        <f t="shared" si="36"/>
        <v>0</v>
      </c>
      <c r="K27" s="24"/>
      <c r="L27" s="24">
        <v>3298</v>
      </c>
      <c r="M27" s="24">
        <f t="shared" si="37"/>
        <v>3298</v>
      </c>
      <c r="N27" s="24"/>
      <c r="O27" s="24"/>
      <c r="P27" s="24">
        <f t="shared" si="38"/>
        <v>0</v>
      </c>
      <c r="Q27" s="24"/>
      <c r="R27" s="24"/>
      <c r="S27" s="24">
        <f t="shared" si="39"/>
        <v>0</v>
      </c>
      <c r="T27" s="24"/>
      <c r="U27" s="24"/>
      <c r="V27" s="24">
        <f t="shared" si="40"/>
        <v>0</v>
      </c>
      <c r="W27" s="24"/>
      <c r="X27" s="24"/>
      <c r="Y27" s="24">
        <f t="shared" si="41"/>
        <v>0</v>
      </c>
      <c r="Z27" s="24"/>
      <c r="AA27" s="24"/>
      <c r="AB27" s="24">
        <f t="shared" si="42"/>
        <v>0</v>
      </c>
      <c r="AC27" s="24"/>
      <c r="AD27" s="24"/>
      <c r="AE27" s="24">
        <f t="shared" si="43"/>
        <v>0</v>
      </c>
      <c r="AF27" s="24"/>
      <c r="AG27" s="24"/>
      <c r="AH27" s="24">
        <f t="shared" si="44"/>
        <v>0</v>
      </c>
      <c r="AI27" s="24">
        <v>804</v>
      </c>
      <c r="AJ27" s="24">
        <v>2496</v>
      </c>
      <c r="AK27" s="24">
        <f t="shared" si="45"/>
        <v>3300</v>
      </c>
      <c r="AL27" s="24"/>
      <c r="AM27" s="24"/>
      <c r="AN27" s="24">
        <f t="shared" si="46"/>
        <v>0</v>
      </c>
      <c r="AO27" s="24"/>
      <c r="AP27" s="24"/>
      <c r="AQ27" s="24">
        <f t="shared" si="47"/>
        <v>0</v>
      </c>
      <c r="AR27" s="24"/>
      <c r="AS27" s="24"/>
      <c r="AT27" s="24">
        <f t="shared" si="48"/>
        <v>0</v>
      </c>
      <c r="AU27" s="24"/>
      <c r="AV27" s="24"/>
      <c r="AW27" s="24">
        <f t="shared" si="49"/>
        <v>0</v>
      </c>
      <c r="AX27" s="24"/>
      <c r="AY27" s="24"/>
      <c r="AZ27" s="24">
        <f t="shared" si="50"/>
        <v>0</v>
      </c>
      <c r="BA27" s="24"/>
      <c r="BB27" s="24"/>
      <c r="BC27" s="24">
        <f t="shared" si="51"/>
        <v>0</v>
      </c>
      <c r="BD27" s="24"/>
      <c r="BE27" s="24"/>
      <c r="BF27" s="24">
        <f t="shared" si="52"/>
        <v>0</v>
      </c>
      <c r="BG27" s="24"/>
      <c r="BH27" s="24"/>
      <c r="BI27" s="24">
        <f t="shared" si="53"/>
        <v>0</v>
      </c>
      <c r="BJ27" s="24"/>
      <c r="BK27" s="24"/>
      <c r="BL27" s="24">
        <f t="shared" si="54"/>
        <v>0</v>
      </c>
      <c r="BM27" s="24"/>
      <c r="BN27" s="24">
        <v>4865</v>
      </c>
      <c r="BO27" s="24">
        <f t="shared" si="55"/>
        <v>4865</v>
      </c>
      <c r="BP27" s="24"/>
      <c r="BQ27" s="24"/>
      <c r="BR27" s="24">
        <f t="shared" si="56"/>
        <v>0</v>
      </c>
      <c r="BS27" s="24"/>
      <c r="BT27" s="24"/>
      <c r="BU27" s="24">
        <f t="shared" si="57"/>
        <v>0</v>
      </c>
      <c r="BV27" s="24"/>
      <c r="BW27" s="24"/>
      <c r="BX27" s="24">
        <f t="shared" si="58"/>
        <v>0</v>
      </c>
      <c r="BY27" s="24"/>
      <c r="BZ27" s="24"/>
      <c r="CA27" s="24">
        <f t="shared" si="59"/>
        <v>0</v>
      </c>
      <c r="CB27" s="24"/>
      <c r="CC27" s="24"/>
      <c r="CD27" s="24">
        <f t="shared" si="60"/>
        <v>0</v>
      </c>
      <c r="CE27" s="24"/>
      <c r="CF27" s="24"/>
      <c r="CG27" s="24">
        <f t="shared" si="61"/>
        <v>0</v>
      </c>
      <c r="CH27" s="24"/>
      <c r="CI27" s="24"/>
      <c r="CJ27" s="24">
        <f t="shared" si="62"/>
        <v>0</v>
      </c>
      <c r="CK27" s="24"/>
      <c r="CL27" s="24"/>
      <c r="CM27" s="24">
        <f t="shared" si="63"/>
        <v>0</v>
      </c>
      <c r="CN27" s="24"/>
      <c r="CO27" s="24"/>
      <c r="CP27" s="24">
        <f t="shared" si="64"/>
        <v>0</v>
      </c>
    </row>
    <row r="28" spans="1:94" ht="15" customHeight="1" x14ac:dyDescent="0.25">
      <c r="A28" s="36" t="s">
        <v>161</v>
      </c>
      <c r="B28" s="24">
        <v>4001</v>
      </c>
      <c r="C28" s="24">
        <v>3685</v>
      </c>
      <c r="D28" s="24">
        <f t="shared" si="34"/>
        <v>7686</v>
      </c>
      <c r="E28" s="24">
        <v>3498</v>
      </c>
      <c r="F28" s="24">
        <v>3839</v>
      </c>
      <c r="G28" s="24">
        <f t="shared" si="35"/>
        <v>7337</v>
      </c>
      <c r="H28" s="24">
        <v>10692</v>
      </c>
      <c r="I28" s="24">
        <v>39912</v>
      </c>
      <c r="J28" s="24">
        <f t="shared" si="36"/>
        <v>50604</v>
      </c>
      <c r="K28" s="24"/>
      <c r="L28" s="24">
        <v>59962</v>
      </c>
      <c r="M28" s="24">
        <f t="shared" si="37"/>
        <v>59962</v>
      </c>
      <c r="N28" s="24"/>
      <c r="O28" s="24">
        <v>30123</v>
      </c>
      <c r="P28" s="24">
        <f t="shared" si="38"/>
        <v>30123</v>
      </c>
      <c r="Q28" s="24"/>
      <c r="R28" s="24"/>
      <c r="S28" s="24">
        <f t="shared" si="39"/>
        <v>0</v>
      </c>
      <c r="T28" s="24">
        <v>7210</v>
      </c>
      <c r="U28" s="24">
        <v>7210</v>
      </c>
      <c r="V28" s="24">
        <f t="shared" si="40"/>
        <v>14420</v>
      </c>
      <c r="W28" s="24"/>
      <c r="X28" s="24"/>
      <c r="Y28" s="24">
        <f t="shared" si="41"/>
        <v>0</v>
      </c>
      <c r="Z28" s="24"/>
      <c r="AA28" s="24"/>
      <c r="AB28" s="24">
        <f t="shared" si="42"/>
        <v>0</v>
      </c>
      <c r="AC28" s="24"/>
      <c r="AD28" s="24"/>
      <c r="AE28" s="24">
        <f t="shared" si="43"/>
        <v>0</v>
      </c>
      <c r="AF28" s="24">
        <v>396</v>
      </c>
      <c r="AG28" s="24">
        <v>1543</v>
      </c>
      <c r="AH28" s="24">
        <f t="shared" si="44"/>
        <v>1939</v>
      </c>
      <c r="AI28" s="24">
        <v>11625</v>
      </c>
      <c r="AJ28" s="24">
        <v>24381</v>
      </c>
      <c r="AK28" s="24">
        <f t="shared" si="45"/>
        <v>36006</v>
      </c>
      <c r="AL28" s="24">
        <v>3073</v>
      </c>
      <c r="AM28" s="24">
        <v>10498</v>
      </c>
      <c r="AN28" s="24">
        <f t="shared" si="46"/>
        <v>13571</v>
      </c>
      <c r="AO28" s="24"/>
      <c r="AP28" s="24"/>
      <c r="AQ28" s="24">
        <f t="shared" si="47"/>
        <v>0</v>
      </c>
      <c r="AR28" s="24">
        <v>1217</v>
      </c>
      <c r="AS28" s="24">
        <v>3735</v>
      </c>
      <c r="AT28" s="24">
        <f t="shared" si="48"/>
        <v>4952</v>
      </c>
      <c r="AU28" s="24">
        <v>2025</v>
      </c>
      <c r="AV28" s="24">
        <v>9993</v>
      </c>
      <c r="AW28" s="24">
        <f t="shared" si="49"/>
        <v>12018</v>
      </c>
      <c r="AX28" s="24">
        <v>677.85</v>
      </c>
      <c r="AY28" s="24">
        <v>1894.17</v>
      </c>
      <c r="AZ28" s="24">
        <f t="shared" si="50"/>
        <v>2572.02</v>
      </c>
      <c r="BA28" s="24">
        <v>6390</v>
      </c>
      <c r="BB28" s="24">
        <v>167</v>
      </c>
      <c r="BC28" s="24">
        <f>BB28+BA28</f>
        <v>6557</v>
      </c>
      <c r="BD28" s="24">
        <v>3263.99</v>
      </c>
      <c r="BE28" s="24">
        <v>82289.36</v>
      </c>
      <c r="BF28" s="24">
        <f t="shared" si="52"/>
        <v>85553.35</v>
      </c>
      <c r="BG28" s="24">
        <v>224</v>
      </c>
      <c r="BH28" s="24"/>
      <c r="BI28" s="24">
        <f t="shared" si="53"/>
        <v>224</v>
      </c>
      <c r="BJ28" s="24">
        <v>977</v>
      </c>
      <c r="BK28" s="24">
        <v>4274</v>
      </c>
      <c r="BL28" s="24">
        <f t="shared" si="54"/>
        <v>5251</v>
      </c>
      <c r="BM28" s="24">
        <v>950</v>
      </c>
      <c r="BN28" s="24"/>
      <c r="BO28" s="24">
        <f t="shared" si="55"/>
        <v>950</v>
      </c>
      <c r="BP28" s="24">
        <v>1958</v>
      </c>
      <c r="BQ28" s="24">
        <v>10044</v>
      </c>
      <c r="BR28" s="24">
        <f t="shared" si="56"/>
        <v>12002</v>
      </c>
      <c r="BS28" s="24"/>
      <c r="BT28" s="24"/>
      <c r="BU28" s="24">
        <f t="shared" si="57"/>
        <v>0</v>
      </c>
      <c r="BV28" s="24"/>
      <c r="BW28" s="24"/>
      <c r="BX28" s="24">
        <f t="shared" si="58"/>
        <v>0</v>
      </c>
      <c r="BY28" s="24">
        <v>15334</v>
      </c>
      <c r="BZ28" s="24">
        <v>22690</v>
      </c>
      <c r="CA28" s="24">
        <f t="shared" si="59"/>
        <v>38024</v>
      </c>
      <c r="CB28" s="24">
        <v>6205</v>
      </c>
      <c r="CC28" s="24">
        <v>28846</v>
      </c>
      <c r="CD28" s="24">
        <f t="shared" si="60"/>
        <v>35051</v>
      </c>
      <c r="CE28" s="24"/>
      <c r="CF28" s="24"/>
      <c r="CG28" s="24">
        <f t="shared" si="61"/>
        <v>0</v>
      </c>
      <c r="CH28" s="24">
        <v>-17863</v>
      </c>
      <c r="CI28" s="24">
        <v>145912</v>
      </c>
      <c r="CJ28" s="24">
        <f t="shared" si="62"/>
        <v>128049</v>
      </c>
      <c r="CK28" s="24">
        <v>3037.14</v>
      </c>
      <c r="CL28" s="24">
        <v>67924.12</v>
      </c>
      <c r="CM28" s="24">
        <f t="shared" si="63"/>
        <v>70961.259999999995</v>
      </c>
      <c r="CN28" s="24">
        <v>83</v>
      </c>
      <c r="CO28" s="24">
        <v>270</v>
      </c>
      <c r="CP28" s="24">
        <f t="shared" si="64"/>
        <v>353</v>
      </c>
    </row>
    <row r="29" spans="1:94" ht="15" customHeight="1" x14ac:dyDescent="0.25">
      <c r="A29" s="36" t="s">
        <v>292</v>
      </c>
      <c r="B29" s="24"/>
      <c r="C29" s="24"/>
      <c r="D29" s="24"/>
      <c r="E29" s="24"/>
      <c r="F29" s="24"/>
      <c r="G29" s="24"/>
      <c r="H29" s="24"/>
      <c r="I29" s="24"/>
      <c r="J29" s="24">
        <f t="shared" si="36"/>
        <v>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>
        <v>54353</v>
      </c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</row>
    <row r="30" spans="1:94" ht="15" customHeight="1" x14ac:dyDescent="0.25">
      <c r="A30" s="36" t="s">
        <v>293</v>
      </c>
      <c r="B30" s="24">
        <v>53</v>
      </c>
      <c r="C30" s="24">
        <v>49</v>
      </c>
      <c r="D30" s="24">
        <f t="shared" si="34"/>
        <v>102</v>
      </c>
      <c r="E30" s="24"/>
      <c r="F30" s="24">
        <v>3511</v>
      </c>
      <c r="G30" s="24">
        <f t="shared" si="35"/>
        <v>3511</v>
      </c>
      <c r="H30" s="24">
        <v>6550</v>
      </c>
      <c r="I30" s="24">
        <v>24450</v>
      </c>
      <c r="J30" s="24">
        <f t="shared" si="36"/>
        <v>31000</v>
      </c>
      <c r="K30" s="24">
        <v>15142</v>
      </c>
      <c r="L30" s="24">
        <v>140005</v>
      </c>
      <c r="M30" s="24">
        <f t="shared" si="37"/>
        <v>155147</v>
      </c>
      <c r="N30" s="24">
        <v>4234</v>
      </c>
      <c r="O30" s="24">
        <v>10498</v>
      </c>
      <c r="P30" s="24">
        <f t="shared" si="38"/>
        <v>14732</v>
      </c>
      <c r="Q30" s="24">
        <v>5996</v>
      </c>
      <c r="R30" s="24">
        <v>43663</v>
      </c>
      <c r="S30" s="24">
        <f t="shared" si="39"/>
        <v>49659</v>
      </c>
      <c r="T30" s="24">
        <v>6793.32</v>
      </c>
      <c r="U30" s="24">
        <v>6793.32</v>
      </c>
      <c r="V30" s="24">
        <f t="shared" si="40"/>
        <v>13586.64</v>
      </c>
      <c r="W30" s="24"/>
      <c r="X30" s="24">
        <v>3569</v>
      </c>
      <c r="Y30" s="24">
        <f t="shared" si="41"/>
        <v>3569</v>
      </c>
      <c r="Z30" s="24">
        <v>907.65</v>
      </c>
      <c r="AA30" s="24">
        <v>3184.47</v>
      </c>
      <c r="AB30" s="24">
        <f t="shared" si="42"/>
        <v>4092.12</v>
      </c>
      <c r="AC30" s="24"/>
      <c r="AD30" s="24">
        <v>46222</v>
      </c>
      <c r="AE30" s="24">
        <f t="shared" si="43"/>
        <v>46222</v>
      </c>
      <c r="AF30" s="24">
        <v>15419</v>
      </c>
      <c r="AG30" s="24">
        <v>60076</v>
      </c>
      <c r="AH30" s="24">
        <f t="shared" si="44"/>
        <v>75495</v>
      </c>
      <c r="AI30" s="24">
        <v>11834</v>
      </c>
      <c r="AJ30" s="24">
        <v>36718</v>
      </c>
      <c r="AK30" s="24">
        <f t="shared" si="45"/>
        <v>48552</v>
      </c>
      <c r="AL30" s="24">
        <v>4879</v>
      </c>
      <c r="AM30" s="24">
        <v>16667</v>
      </c>
      <c r="AN30" s="24">
        <f t="shared" si="46"/>
        <v>21546</v>
      </c>
      <c r="AO30" s="24">
        <v>231</v>
      </c>
      <c r="AP30" s="24">
        <v>769</v>
      </c>
      <c r="AQ30" s="24">
        <f t="shared" si="47"/>
        <v>1000</v>
      </c>
      <c r="AR30" s="24">
        <v>2214</v>
      </c>
      <c r="AS30" s="24">
        <v>6797</v>
      </c>
      <c r="AT30" s="24">
        <f t="shared" si="48"/>
        <v>9011</v>
      </c>
      <c r="AU30" s="24">
        <v>2534</v>
      </c>
      <c r="AV30" s="24">
        <v>12506</v>
      </c>
      <c r="AW30" s="24">
        <f t="shared" si="49"/>
        <v>15040</v>
      </c>
      <c r="AX30" s="24">
        <v>1012.33</v>
      </c>
      <c r="AY30" s="24">
        <v>3052.44</v>
      </c>
      <c r="AZ30" s="24">
        <f t="shared" si="50"/>
        <v>4064.77</v>
      </c>
      <c r="BA30" s="24">
        <v>6500</v>
      </c>
      <c r="BB30" s="24">
        <v>4968</v>
      </c>
      <c r="BC30" s="24">
        <f t="shared" si="51"/>
        <v>11468</v>
      </c>
      <c r="BD30" s="24">
        <v>2684.96</v>
      </c>
      <c r="BE30" s="24">
        <v>67691.289999999994</v>
      </c>
      <c r="BF30" s="24">
        <f t="shared" si="52"/>
        <v>70376.25</v>
      </c>
      <c r="BG30" s="24">
        <v>1070</v>
      </c>
      <c r="BH30" s="24">
        <v>2512</v>
      </c>
      <c r="BI30" s="24">
        <f t="shared" si="53"/>
        <v>3582</v>
      </c>
      <c r="BJ30" s="24">
        <v>279</v>
      </c>
      <c r="BK30" s="24">
        <v>1222</v>
      </c>
      <c r="BL30" s="24">
        <f t="shared" si="54"/>
        <v>1501</v>
      </c>
      <c r="BM30" s="24">
        <v>10614</v>
      </c>
      <c r="BN30" s="24">
        <v>29683</v>
      </c>
      <c r="BO30" s="24">
        <f t="shared" si="55"/>
        <v>40297</v>
      </c>
      <c r="BP30" s="24">
        <v>6647</v>
      </c>
      <c r="BQ30" s="24">
        <v>34089</v>
      </c>
      <c r="BR30" s="24">
        <f t="shared" si="56"/>
        <v>40736</v>
      </c>
      <c r="BS30" s="24">
        <v>1500</v>
      </c>
      <c r="BT30" s="24">
        <v>59790</v>
      </c>
      <c r="BU30" s="24">
        <f t="shared" si="57"/>
        <v>61290</v>
      </c>
      <c r="BV30" s="24">
        <v>2508.25</v>
      </c>
      <c r="BW30" s="24">
        <v>16854</v>
      </c>
      <c r="BX30" s="24">
        <f t="shared" si="58"/>
        <v>19362.25</v>
      </c>
      <c r="BY30" s="24"/>
      <c r="BZ30" s="24"/>
      <c r="CA30" s="24">
        <f t="shared" si="59"/>
        <v>0</v>
      </c>
      <c r="CB30" s="24">
        <v>2849</v>
      </c>
      <c r="CC30" s="24">
        <v>13246</v>
      </c>
      <c r="CD30" s="24">
        <f t="shared" si="60"/>
        <v>16095</v>
      </c>
      <c r="CE30" s="24"/>
      <c r="CF30" s="24"/>
      <c r="CG30" s="24">
        <f t="shared" si="61"/>
        <v>0</v>
      </c>
      <c r="CH30" s="24">
        <v>-1676</v>
      </c>
      <c r="CI30" s="24">
        <v>13693</v>
      </c>
      <c r="CJ30" s="24">
        <f t="shared" si="62"/>
        <v>12017</v>
      </c>
      <c r="CK30" s="24">
        <v>809.56</v>
      </c>
      <c r="CL30" s="24">
        <v>18105.48</v>
      </c>
      <c r="CM30" s="24">
        <f t="shared" si="63"/>
        <v>18915.04</v>
      </c>
      <c r="CN30" s="24">
        <v>5910</v>
      </c>
      <c r="CO30" s="24">
        <v>19233</v>
      </c>
      <c r="CP30" s="24">
        <f t="shared" si="64"/>
        <v>25143</v>
      </c>
    </row>
    <row r="31" spans="1:94" ht="15" customHeight="1" x14ac:dyDescent="0.25">
      <c r="A31" s="36" t="s">
        <v>168</v>
      </c>
      <c r="B31" s="24">
        <v>4466</v>
      </c>
      <c r="C31" s="24">
        <v>4113</v>
      </c>
      <c r="D31" s="24">
        <f t="shared" si="34"/>
        <v>8579</v>
      </c>
      <c r="E31" s="24">
        <v>250</v>
      </c>
      <c r="F31" s="24"/>
      <c r="G31" s="24">
        <f t="shared" si="35"/>
        <v>250</v>
      </c>
      <c r="H31" s="24">
        <v>46532</v>
      </c>
      <c r="I31" s="24">
        <v>173705</v>
      </c>
      <c r="J31" s="24">
        <f t="shared" si="36"/>
        <v>220237</v>
      </c>
      <c r="K31" s="24">
        <v>9857</v>
      </c>
      <c r="L31" s="24">
        <v>11177</v>
      </c>
      <c r="M31" s="24">
        <f t="shared" si="37"/>
        <v>21034</v>
      </c>
      <c r="N31" s="24"/>
      <c r="O31" s="24"/>
      <c r="P31" s="24">
        <f t="shared" si="38"/>
        <v>0</v>
      </c>
      <c r="Q31" s="24">
        <f>1690+2578</f>
        <v>4268</v>
      </c>
      <c r="R31" s="24">
        <v>18772</v>
      </c>
      <c r="S31" s="24">
        <f t="shared" si="39"/>
        <v>23040</v>
      </c>
      <c r="T31" s="24">
        <v>7909.14</v>
      </c>
      <c r="U31" s="24">
        <v>7909.14</v>
      </c>
      <c r="V31" s="24">
        <f t="shared" si="40"/>
        <v>15818.28</v>
      </c>
      <c r="W31" s="24"/>
      <c r="X31" s="24">
        <v>3000</v>
      </c>
      <c r="Y31" s="24">
        <f t="shared" si="41"/>
        <v>3000</v>
      </c>
      <c r="Z31" s="24">
        <v>1351.34</v>
      </c>
      <c r="AA31" s="24">
        <v>4741.17</v>
      </c>
      <c r="AB31" s="24">
        <f t="shared" si="42"/>
        <v>6092.51</v>
      </c>
      <c r="AC31" s="24"/>
      <c r="AD31" s="24"/>
      <c r="AE31" s="24">
        <f t="shared" si="43"/>
        <v>0</v>
      </c>
      <c r="AF31" s="24">
        <v>22858</v>
      </c>
      <c r="AG31" s="24">
        <v>89057</v>
      </c>
      <c r="AH31" s="24">
        <f t="shared" si="44"/>
        <v>111915</v>
      </c>
      <c r="AI31" s="24"/>
      <c r="AJ31" s="24"/>
      <c r="AK31" s="24">
        <f t="shared" si="45"/>
        <v>0</v>
      </c>
      <c r="AL31" s="24">
        <v>12674</v>
      </c>
      <c r="AM31" s="24">
        <v>43296</v>
      </c>
      <c r="AN31" s="24">
        <f t="shared" si="46"/>
        <v>55970</v>
      </c>
      <c r="AO31" s="24">
        <v>1417</v>
      </c>
      <c r="AP31" s="24">
        <v>4719</v>
      </c>
      <c r="AQ31" s="24">
        <f t="shared" si="47"/>
        <v>6136</v>
      </c>
      <c r="AR31" s="24"/>
      <c r="AS31" s="24"/>
      <c r="AT31" s="24">
        <f t="shared" si="48"/>
        <v>0</v>
      </c>
      <c r="AU31" s="24">
        <v>1466</v>
      </c>
      <c r="AV31" s="24">
        <v>7234</v>
      </c>
      <c r="AW31" s="24">
        <f t="shared" si="49"/>
        <v>8700</v>
      </c>
      <c r="AX31" s="24"/>
      <c r="AY31" s="24"/>
      <c r="AZ31" s="24">
        <f t="shared" si="50"/>
        <v>0</v>
      </c>
      <c r="BA31" s="24">
        <v>4318</v>
      </c>
      <c r="BB31" s="24">
        <v>195</v>
      </c>
      <c r="BC31" s="24">
        <f t="shared" si="51"/>
        <v>4513</v>
      </c>
      <c r="BD31" s="24">
        <v>8038.72</v>
      </c>
      <c r="BE31" s="24">
        <v>202666.3</v>
      </c>
      <c r="BF31" s="24">
        <f t="shared" si="52"/>
        <v>210705.02</v>
      </c>
      <c r="BG31" s="24"/>
      <c r="BH31" s="24"/>
      <c r="BI31" s="24">
        <f t="shared" si="53"/>
        <v>0</v>
      </c>
      <c r="BJ31" s="24">
        <v>6</v>
      </c>
      <c r="BK31" s="24">
        <v>27</v>
      </c>
      <c r="BL31" s="24">
        <f t="shared" si="54"/>
        <v>33</v>
      </c>
      <c r="BM31" s="24">
        <v>5796</v>
      </c>
      <c r="BN31" s="24"/>
      <c r="BO31" s="24">
        <f t="shared" si="55"/>
        <v>5796</v>
      </c>
      <c r="BP31" s="24">
        <v>1772</v>
      </c>
      <c r="BQ31" s="24">
        <v>9090</v>
      </c>
      <c r="BR31" s="24">
        <f t="shared" si="56"/>
        <v>10862</v>
      </c>
      <c r="BS31" s="24"/>
      <c r="BT31" s="24"/>
      <c r="BU31" s="24">
        <f t="shared" si="57"/>
        <v>0</v>
      </c>
      <c r="BV31" s="24"/>
      <c r="BW31" s="24"/>
      <c r="BX31" s="24">
        <f t="shared" si="58"/>
        <v>0</v>
      </c>
      <c r="BY31" s="24">
        <v>14495</v>
      </c>
      <c r="BZ31" s="24">
        <v>21448</v>
      </c>
      <c r="CA31" s="24">
        <f t="shared" si="59"/>
        <v>35943</v>
      </c>
      <c r="CB31" s="24">
        <v>7666</v>
      </c>
      <c r="CC31" s="24">
        <v>35638</v>
      </c>
      <c r="CD31" s="24">
        <f t="shared" si="60"/>
        <v>43304</v>
      </c>
      <c r="CE31" s="24"/>
      <c r="CF31" s="24"/>
      <c r="CG31" s="24">
        <f t="shared" si="61"/>
        <v>0</v>
      </c>
      <c r="CH31" s="24"/>
      <c r="CI31" s="24"/>
      <c r="CJ31" s="24">
        <f t="shared" si="62"/>
        <v>0</v>
      </c>
      <c r="CK31" s="24"/>
      <c r="CL31" s="24"/>
      <c r="CM31" s="24">
        <f t="shared" si="63"/>
        <v>0</v>
      </c>
      <c r="CN31" s="24">
        <v>461</v>
      </c>
      <c r="CO31" s="24">
        <v>1502</v>
      </c>
      <c r="CP31" s="24">
        <f t="shared" si="64"/>
        <v>1963</v>
      </c>
    </row>
    <row r="32" spans="1:94" ht="15" customHeight="1" x14ac:dyDescent="0.25">
      <c r="A32" s="36" t="s">
        <v>162</v>
      </c>
      <c r="B32" s="24"/>
      <c r="C32" s="24"/>
      <c r="D32" s="24">
        <f t="shared" si="34"/>
        <v>0</v>
      </c>
      <c r="E32" s="24"/>
      <c r="F32" s="24"/>
      <c r="G32" s="24">
        <f t="shared" si="35"/>
        <v>0</v>
      </c>
      <c r="H32" s="24"/>
      <c r="I32" s="24"/>
      <c r="J32" s="24">
        <f t="shared" si="36"/>
        <v>0</v>
      </c>
      <c r="K32" s="24"/>
      <c r="L32" s="24"/>
      <c r="M32" s="24">
        <f t="shared" si="37"/>
        <v>0</v>
      </c>
      <c r="N32" s="24"/>
      <c r="O32" s="24"/>
      <c r="P32" s="24">
        <f t="shared" si="38"/>
        <v>0</v>
      </c>
      <c r="Q32" s="24"/>
      <c r="R32" s="24"/>
      <c r="S32" s="24">
        <f t="shared" si="39"/>
        <v>0</v>
      </c>
      <c r="T32" s="24"/>
      <c r="U32" s="24"/>
      <c r="V32" s="24">
        <f t="shared" si="40"/>
        <v>0</v>
      </c>
      <c r="W32" s="24"/>
      <c r="X32" s="24"/>
      <c r="Y32" s="24">
        <f t="shared" si="41"/>
        <v>0</v>
      </c>
      <c r="Z32" s="24"/>
      <c r="AA32" s="24"/>
      <c r="AB32" s="24">
        <f t="shared" si="42"/>
        <v>0</v>
      </c>
      <c r="AC32" s="24"/>
      <c r="AD32" s="24"/>
      <c r="AE32" s="24">
        <f t="shared" si="43"/>
        <v>0</v>
      </c>
      <c r="AF32" s="24"/>
      <c r="AG32" s="24"/>
      <c r="AH32" s="24">
        <f t="shared" si="44"/>
        <v>0</v>
      </c>
      <c r="AI32" s="24"/>
      <c r="AJ32" s="24"/>
      <c r="AK32" s="24">
        <f t="shared" si="45"/>
        <v>0</v>
      </c>
      <c r="AL32" s="24"/>
      <c r="AM32" s="24"/>
      <c r="AN32" s="24">
        <f t="shared" si="46"/>
        <v>0</v>
      </c>
      <c r="AO32" s="24"/>
      <c r="AP32" s="24"/>
      <c r="AQ32" s="24">
        <f t="shared" si="47"/>
        <v>0</v>
      </c>
      <c r="AR32" s="24"/>
      <c r="AS32" s="24"/>
      <c r="AT32" s="24">
        <f t="shared" si="48"/>
        <v>0</v>
      </c>
      <c r="AU32" s="24"/>
      <c r="AV32" s="24"/>
      <c r="AW32" s="24">
        <f t="shared" si="49"/>
        <v>0</v>
      </c>
      <c r="AX32" s="24"/>
      <c r="AY32" s="24"/>
      <c r="AZ32" s="24">
        <f t="shared" si="50"/>
        <v>0</v>
      </c>
      <c r="BA32" s="24"/>
      <c r="BB32" s="24"/>
      <c r="BC32" s="24">
        <f t="shared" si="51"/>
        <v>0</v>
      </c>
      <c r="BD32" s="24"/>
      <c r="BE32" s="24"/>
      <c r="BF32" s="24">
        <f t="shared" si="52"/>
        <v>0</v>
      </c>
      <c r="BG32" s="24"/>
      <c r="BH32" s="24"/>
      <c r="BI32" s="24">
        <f t="shared" si="53"/>
        <v>0</v>
      </c>
      <c r="BJ32" s="24"/>
      <c r="BK32" s="24"/>
      <c r="BL32" s="24">
        <f t="shared" si="54"/>
        <v>0</v>
      </c>
      <c r="BM32" s="24"/>
      <c r="BN32" s="24"/>
      <c r="BO32" s="24">
        <f t="shared" si="55"/>
        <v>0</v>
      </c>
      <c r="BP32" s="24"/>
      <c r="BQ32" s="24"/>
      <c r="BR32" s="24">
        <f t="shared" si="56"/>
        <v>0</v>
      </c>
      <c r="BS32" s="24"/>
      <c r="BT32" s="24"/>
      <c r="BU32" s="24">
        <f t="shared" si="57"/>
        <v>0</v>
      </c>
      <c r="BV32" s="24"/>
      <c r="BW32" s="24"/>
      <c r="BX32" s="24">
        <f t="shared" si="58"/>
        <v>0</v>
      </c>
      <c r="BY32" s="24"/>
      <c r="BZ32" s="24"/>
      <c r="CA32" s="24">
        <f t="shared" si="59"/>
        <v>0</v>
      </c>
      <c r="CB32" s="24"/>
      <c r="CC32" s="24"/>
      <c r="CD32" s="24">
        <f t="shared" si="60"/>
        <v>0</v>
      </c>
      <c r="CE32" s="24"/>
      <c r="CF32" s="24"/>
      <c r="CG32" s="24">
        <f t="shared" si="61"/>
        <v>0</v>
      </c>
      <c r="CH32" s="24"/>
      <c r="CI32" s="24"/>
      <c r="CJ32" s="24">
        <f t="shared" si="62"/>
        <v>0</v>
      </c>
      <c r="CK32" s="24"/>
      <c r="CL32" s="24"/>
      <c r="CM32" s="24">
        <f t="shared" si="63"/>
        <v>0</v>
      </c>
      <c r="CN32" s="24"/>
      <c r="CO32" s="24"/>
      <c r="CP32" s="24">
        <f t="shared" si="64"/>
        <v>0</v>
      </c>
    </row>
    <row r="33" spans="1:94" ht="15" customHeight="1" x14ac:dyDescent="0.25">
      <c r="A33" s="36" t="s">
        <v>294</v>
      </c>
      <c r="B33" s="24"/>
      <c r="C33" s="24"/>
      <c r="D33" s="24"/>
      <c r="E33" s="24"/>
      <c r="F33" s="24"/>
      <c r="G33" s="24"/>
      <c r="H33" s="24"/>
      <c r="I33" s="24"/>
      <c r="J33" s="24">
        <f t="shared" si="36"/>
        <v>0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>
        <f t="shared" si="40"/>
        <v>0</v>
      </c>
      <c r="W33" s="24"/>
      <c r="X33" s="24">
        <v>1474</v>
      </c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>
        <v>23688</v>
      </c>
      <c r="BO33" s="24"/>
      <c r="BP33" s="24"/>
      <c r="BQ33" s="24"/>
      <c r="BR33" s="24"/>
      <c r="BS33" s="24"/>
      <c r="BT33" s="24"/>
      <c r="BU33" s="24"/>
      <c r="BV33" s="24"/>
      <c r="BW33" s="24"/>
      <c r="BX33" s="24">
        <f t="shared" si="58"/>
        <v>0</v>
      </c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>
        <f t="shared" si="62"/>
        <v>0</v>
      </c>
      <c r="CK33" s="24"/>
      <c r="CL33" s="24"/>
      <c r="CM33" s="24"/>
      <c r="CN33" s="24"/>
      <c r="CO33" s="24"/>
      <c r="CP33" s="24">
        <f t="shared" si="64"/>
        <v>0</v>
      </c>
    </row>
    <row r="34" spans="1:94" ht="15" customHeight="1" x14ac:dyDescent="0.25">
      <c r="A34" s="36" t="s">
        <v>291</v>
      </c>
      <c r="B34" s="24">
        <v>2949</v>
      </c>
      <c r="C34" s="24">
        <v>2717</v>
      </c>
      <c r="D34" s="24">
        <f t="shared" si="34"/>
        <v>5666</v>
      </c>
      <c r="E34" s="24"/>
      <c r="F34" s="24">
        <v>1002</v>
      </c>
      <c r="G34" s="24">
        <f t="shared" si="35"/>
        <v>1002</v>
      </c>
      <c r="H34" s="24">
        <v>4017</v>
      </c>
      <c r="I34" s="24">
        <v>14995</v>
      </c>
      <c r="J34" s="24">
        <f t="shared" si="36"/>
        <v>19012</v>
      </c>
      <c r="K34" s="24">
        <v>60230</v>
      </c>
      <c r="L34" s="24">
        <v>124594</v>
      </c>
      <c r="M34" s="24">
        <f t="shared" si="37"/>
        <v>184824</v>
      </c>
      <c r="N34" s="24">
        <v>2503</v>
      </c>
      <c r="O34" s="24">
        <v>9739</v>
      </c>
      <c r="P34" s="24">
        <f t="shared" si="38"/>
        <v>12242</v>
      </c>
      <c r="Q34" s="24">
        <v>1539</v>
      </c>
      <c r="R34" s="24">
        <v>11206</v>
      </c>
      <c r="S34" s="24">
        <f t="shared" si="39"/>
        <v>12745</v>
      </c>
      <c r="T34" s="24">
        <v>12087.46</v>
      </c>
      <c r="U34" s="24">
        <v>12087.46</v>
      </c>
      <c r="V34" s="24">
        <f t="shared" si="40"/>
        <v>24174.92</v>
      </c>
      <c r="W34" s="24">
        <v>364</v>
      </c>
      <c r="X34" s="24">
        <v>2747</v>
      </c>
      <c r="Y34" s="24">
        <f t="shared" si="41"/>
        <v>3111</v>
      </c>
      <c r="Z34" s="24"/>
      <c r="AA34" s="24"/>
      <c r="AB34" s="24">
        <f t="shared" si="42"/>
        <v>0</v>
      </c>
      <c r="AC34" s="24">
        <v>17636</v>
      </c>
      <c r="AD34" s="24">
        <v>156366</v>
      </c>
      <c r="AE34" s="24">
        <f t="shared" si="43"/>
        <v>174002</v>
      </c>
      <c r="AF34" s="24">
        <v>18355</v>
      </c>
      <c r="AG34" s="24">
        <v>71516</v>
      </c>
      <c r="AH34" s="24">
        <f t="shared" si="44"/>
        <v>89871</v>
      </c>
      <c r="AI34" s="24">
        <v>10960</v>
      </c>
      <c r="AJ34" s="24">
        <v>34006</v>
      </c>
      <c r="AK34" s="24">
        <f t="shared" si="45"/>
        <v>44966</v>
      </c>
      <c r="AL34" s="24">
        <v>33221</v>
      </c>
      <c r="AM34" s="24">
        <v>113479</v>
      </c>
      <c r="AN34" s="24">
        <f t="shared" si="46"/>
        <v>146700</v>
      </c>
      <c r="AO34" s="24">
        <v>581</v>
      </c>
      <c r="AP34" s="24">
        <v>1934</v>
      </c>
      <c r="AQ34" s="24">
        <f t="shared" si="47"/>
        <v>2515</v>
      </c>
      <c r="AR34" s="24">
        <v>492</v>
      </c>
      <c r="AS34" s="24">
        <v>1512</v>
      </c>
      <c r="AT34" s="24">
        <f t="shared" si="48"/>
        <v>2004</v>
      </c>
      <c r="AU34" s="24">
        <v>421</v>
      </c>
      <c r="AV34" s="24">
        <v>2079</v>
      </c>
      <c r="AW34" s="24">
        <f t="shared" si="49"/>
        <v>2500</v>
      </c>
      <c r="AX34" s="24">
        <v>2515.4699999999998</v>
      </c>
      <c r="AY34" s="24">
        <v>6035.73</v>
      </c>
      <c r="AZ34" s="24">
        <f t="shared" si="50"/>
        <v>8551.1999999999989</v>
      </c>
      <c r="BA34" s="24">
        <v>1002</v>
      </c>
      <c r="BB34" s="24">
        <v>5039</v>
      </c>
      <c r="BC34" s="24">
        <f t="shared" si="51"/>
        <v>6041</v>
      </c>
      <c r="BD34" s="24">
        <v>569.55999999999995</v>
      </c>
      <c r="BE34" s="24">
        <v>14359.37</v>
      </c>
      <c r="BF34" s="24">
        <f t="shared" si="52"/>
        <v>14928.93</v>
      </c>
      <c r="BG34" s="24"/>
      <c r="BH34" s="24">
        <v>500</v>
      </c>
      <c r="BI34" s="24">
        <f t="shared" si="53"/>
        <v>500</v>
      </c>
      <c r="BJ34" s="24">
        <v>187</v>
      </c>
      <c r="BK34" s="24">
        <v>818</v>
      </c>
      <c r="BL34" s="24">
        <f t="shared" si="54"/>
        <v>1005</v>
      </c>
      <c r="BM34" s="24">
        <v>4626</v>
      </c>
      <c r="BN34" s="24">
        <v>16625</v>
      </c>
      <c r="BO34" s="24">
        <f t="shared" si="55"/>
        <v>21251</v>
      </c>
      <c r="BP34" s="24">
        <v>5899</v>
      </c>
      <c r="BQ34" s="24">
        <v>30255</v>
      </c>
      <c r="BR34" s="24">
        <f t="shared" si="56"/>
        <v>36154</v>
      </c>
      <c r="BS34" s="24"/>
      <c r="BT34" s="24">
        <v>21481</v>
      </c>
      <c r="BU34" s="24">
        <f t="shared" si="57"/>
        <v>21481</v>
      </c>
      <c r="BV34" s="24">
        <v>2495.0500000000002</v>
      </c>
      <c r="BW34" s="24">
        <v>15455</v>
      </c>
      <c r="BX34" s="24">
        <f t="shared" si="58"/>
        <v>17950.05</v>
      </c>
      <c r="BY34" s="24">
        <v>8209</v>
      </c>
      <c r="BZ34" s="24">
        <v>12146</v>
      </c>
      <c r="CA34" s="24">
        <f t="shared" si="59"/>
        <v>20355</v>
      </c>
      <c r="CB34" s="24">
        <v>6220</v>
      </c>
      <c r="CC34" s="24">
        <v>28917</v>
      </c>
      <c r="CD34" s="24">
        <f t="shared" si="60"/>
        <v>35137</v>
      </c>
      <c r="CE34" s="24"/>
      <c r="CF34" s="24"/>
      <c r="CG34" s="24">
        <f t="shared" si="61"/>
        <v>0</v>
      </c>
      <c r="CH34" s="24">
        <v>-2243</v>
      </c>
      <c r="CI34" s="24">
        <v>18320</v>
      </c>
      <c r="CJ34" s="24">
        <f t="shared" si="62"/>
        <v>16077</v>
      </c>
      <c r="CK34" s="24">
        <v>4098.1400000000003</v>
      </c>
      <c r="CL34" s="24">
        <v>91652.9</v>
      </c>
      <c r="CM34" s="24">
        <f t="shared" si="63"/>
        <v>95751.039999999994</v>
      </c>
      <c r="CN34" s="24">
        <v>1888</v>
      </c>
      <c r="CO34" s="24">
        <v>6143</v>
      </c>
      <c r="CP34" s="24">
        <f t="shared" si="64"/>
        <v>8031</v>
      </c>
    </row>
    <row r="35" spans="1:94" x14ac:dyDescent="0.25">
      <c r="A35" s="36" t="s">
        <v>164</v>
      </c>
      <c r="B35" s="24"/>
      <c r="C35" s="24"/>
      <c r="D35" s="24">
        <f t="shared" si="34"/>
        <v>0</v>
      </c>
      <c r="E35" s="24"/>
      <c r="F35" s="24"/>
      <c r="G35" s="24">
        <f t="shared" si="35"/>
        <v>0</v>
      </c>
      <c r="H35" s="24"/>
      <c r="I35" s="24"/>
      <c r="J35" s="24">
        <f t="shared" si="36"/>
        <v>0</v>
      </c>
      <c r="K35" s="24"/>
      <c r="L35" s="24"/>
      <c r="M35" s="24">
        <f t="shared" si="37"/>
        <v>0</v>
      </c>
      <c r="N35" s="24"/>
      <c r="O35" s="24"/>
      <c r="P35" s="24">
        <f t="shared" si="38"/>
        <v>0</v>
      </c>
      <c r="Q35" s="24">
        <v>144</v>
      </c>
      <c r="R35" s="24">
        <f>1051+12306</f>
        <v>13357</v>
      </c>
      <c r="S35" s="24">
        <f t="shared" si="39"/>
        <v>13501</v>
      </c>
      <c r="T35" s="24">
        <v>2998.84</v>
      </c>
      <c r="U35" s="24">
        <v>2998.84</v>
      </c>
      <c r="V35" s="24">
        <f t="shared" si="40"/>
        <v>5997.68</v>
      </c>
      <c r="W35" s="24">
        <v>1107</v>
      </c>
      <c r="X35" s="24">
        <v>1194</v>
      </c>
      <c r="Y35" s="24">
        <f t="shared" si="41"/>
        <v>2301</v>
      </c>
      <c r="Z35" s="24"/>
      <c r="AA35" s="24"/>
      <c r="AB35" s="24">
        <f t="shared" si="42"/>
        <v>0</v>
      </c>
      <c r="AC35" s="24"/>
      <c r="AD35" s="24"/>
      <c r="AE35" s="24">
        <f t="shared" si="43"/>
        <v>0</v>
      </c>
      <c r="AF35" s="24"/>
      <c r="AG35" s="24"/>
      <c r="AH35" s="24">
        <f t="shared" si="44"/>
        <v>0</v>
      </c>
      <c r="AI35" s="24"/>
      <c r="AJ35" s="24"/>
      <c r="AK35" s="24">
        <f t="shared" si="45"/>
        <v>0</v>
      </c>
      <c r="AL35" s="24"/>
      <c r="AM35" s="24"/>
      <c r="AN35" s="24">
        <f t="shared" si="46"/>
        <v>0</v>
      </c>
      <c r="AO35" s="24"/>
      <c r="AP35" s="24"/>
      <c r="AQ35" s="24">
        <f t="shared" si="47"/>
        <v>0</v>
      </c>
      <c r="AR35" s="24"/>
      <c r="AS35" s="24"/>
      <c r="AT35" s="24">
        <f t="shared" si="48"/>
        <v>0</v>
      </c>
      <c r="AU35" s="24"/>
      <c r="AV35" s="24"/>
      <c r="AW35" s="24">
        <f t="shared" si="49"/>
        <v>0</v>
      </c>
      <c r="AX35" s="24">
        <v>346.09</v>
      </c>
      <c r="AY35" s="24">
        <v>1214.0899999999999</v>
      </c>
      <c r="AZ35" s="24">
        <f t="shared" si="50"/>
        <v>1560.1799999999998</v>
      </c>
      <c r="BA35" s="24">
        <v>482</v>
      </c>
      <c r="BB35" s="24"/>
      <c r="BC35" s="24">
        <f t="shared" si="51"/>
        <v>482</v>
      </c>
      <c r="BD35" s="24"/>
      <c r="BE35" s="24"/>
      <c r="BF35" s="24">
        <f t="shared" si="52"/>
        <v>0</v>
      </c>
      <c r="BG35" s="24">
        <v>1584</v>
      </c>
      <c r="BH35" s="24">
        <v>509</v>
      </c>
      <c r="BI35" s="24">
        <f t="shared" si="53"/>
        <v>2093</v>
      </c>
      <c r="BJ35" s="24"/>
      <c r="BK35" s="24"/>
      <c r="BL35" s="24">
        <f t="shared" si="54"/>
        <v>0</v>
      </c>
      <c r="BM35" s="24">
        <f>3247-302</f>
        <v>2945</v>
      </c>
      <c r="BN35" s="24">
        <v>-1545</v>
      </c>
      <c r="BO35" s="24">
        <f t="shared" si="55"/>
        <v>1400</v>
      </c>
      <c r="BP35" s="24">
        <v>2361</v>
      </c>
      <c r="BQ35" s="24">
        <v>12109</v>
      </c>
      <c r="BR35" s="24">
        <f t="shared" si="56"/>
        <v>14470</v>
      </c>
      <c r="BS35" s="24">
        <v>512</v>
      </c>
      <c r="BT35" s="24">
        <v>10853</v>
      </c>
      <c r="BU35" s="24">
        <f t="shared" si="57"/>
        <v>11365</v>
      </c>
      <c r="BV35" s="24"/>
      <c r="BW35" s="24"/>
      <c r="BX35" s="24">
        <v>0</v>
      </c>
      <c r="BY35" s="24">
        <v>11811</v>
      </c>
      <c r="BZ35" s="24">
        <v>17477</v>
      </c>
      <c r="CA35" s="24">
        <f t="shared" si="59"/>
        <v>29288</v>
      </c>
      <c r="CB35" s="24">
        <v>5441</v>
      </c>
      <c r="CC35" s="24">
        <v>25293</v>
      </c>
      <c r="CD35" s="24">
        <f t="shared" si="60"/>
        <v>30734</v>
      </c>
      <c r="CE35" s="24"/>
      <c r="CF35" s="24"/>
      <c r="CG35" s="24">
        <f t="shared" si="61"/>
        <v>0</v>
      </c>
      <c r="CH35" s="24">
        <v>-70</v>
      </c>
      <c r="CI35" s="24">
        <v>570</v>
      </c>
      <c r="CJ35" s="24">
        <f t="shared" si="62"/>
        <v>500</v>
      </c>
      <c r="CK35" s="24">
        <v>214</v>
      </c>
      <c r="CL35" s="24">
        <v>4786</v>
      </c>
      <c r="CM35" s="24">
        <f t="shared" si="63"/>
        <v>5000</v>
      </c>
      <c r="CN35" s="24"/>
      <c r="CO35" s="24"/>
      <c r="CP35" s="24">
        <f t="shared" si="64"/>
        <v>0</v>
      </c>
    </row>
    <row r="36" spans="1:94" s="4" customFormat="1" x14ac:dyDescent="0.25">
      <c r="A36" s="38" t="s">
        <v>167</v>
      </c>
      <c r="B36" s="26">
        <f t="shared" ref="B36:BM36" si="65">SUM(B22:B35)</f>
        <v>17283</v>
      </c>
      <c r="C36" s="26">
        <f t="shared" si="65"/>
        <v>15919</v>
      </c>
      <c r="D36" s="26">
        <f t="shared" si="65"/>
        <v>33202</v>
      </c>
      <c r="E36" s="26">
        <f t="shared" si="65"/>
        <v>7732</v>
      </c>
      <c r="F36" s="26">
        <f t="shared" si="65"/>
        <v>8853</v>
      </c>
      <c r="G36" s="26">
        <f t="shared" si="65"/>
        <v>16585</v>
      </c>
      <c r="H36" s="26">
        <f t="shared" si="65"/>
        <v>79004</v>
      </c>
      <c r="I36" s="26">
        <f t="shared" si="65"/>
        <v>294919</v>
      </c>
      <c r="J36" s="26">
        <f t="shared" si="65"/>
        <v>373923</v>
      </c>
      <c r="K36" s="26">
        <f t="shared" si="65"/>
        <v>85229</v>
      </c>
      <c r="L36" s="26">
        <f t="shared" si="65"/>
        <v>346680</v>
      </c>
      <c r="M36" s="26">
        <f t="shared" si="65"/>
        <v>431909</v>
      </c>
      <c r="N36" s="26">
        <f t="shared" si="65"/>
        <v>7386</v>
      </c>
      <c r="O36" s="26">
        <f t="shared" si="65"/>
        <v>54328</v>
      </c>
      <c r="P36" s="26">
        <f t="shared" si="65"/>
        <v>61714</v>
      </c>
      <c r="Q36" s="26">
        <f t="shared" si="65"/>
        <v>12251</v>
      </c>
      <c r="R36" s="26">
        <f t="shared" si="65"/>
        <v>89211</v>
      </c>
      <c r="S36" s="26">
        <f t="shared" si="65"/>
        <v>101462</v>
      </c>
      <c r="T36" s="26">
        <f t="shared" si="65"/>
        <v>49181.39</v>
      </c>
      <c r="U36" s="26">
        <f t="shared" si="65"/>
        <v>49181.39</v>
      </c>
      <c r="V36" s="26">
        <f t="shared" si="65"/>
        <v>98362.78</v>
      </c>
      <c r="W36" s="26">
        <f t="shared" si="65"/>
        <v>2551</v>
      </c>
      <c r="X36" s="26">
        <f t="shared" si="65"/>
        <v>13777</v>
      </c>
      <c r="Y36" s="26">
        <f t="shared" si="65"/>
        <v>14854</v>
      </c>
      <c r="Z36" s="26">
        <f t="shared" si="65"/>
        <v>2369.8000000000002</v>
      </c>
      <c r="AA36" s="26">
        <f t="shared" si="65"/>
        <v>8314.42</v>
      </c>
      <c r="AB36" s="26">
        <f t="shared" si="65"/>
        <v>10684.220000000001</v>
      </c>
      <c r="AC36" s="26">
        <f t="shared" si="65"/>
        <v>17636</v>
      </c>
      <c r="AD36" s="26">
        <f t="shared" si="65"/>
        <v>210300</v>
      </c>
      <c r="AE36" s="26">
        <f t="shared" si="65"/>
        <v>227936</v>
      </c>
      <c r="AF36" s="26">
        <f t="shared" si="65"/>
        <v>75368</v>
      </c>
      <c r="AG36" s="26">
        <f t="shared" si="65"/>
        <v>293649</v>
      </c>
      <c r="AH36" s="26">
        <f t="shared" si="65"/>
        <v>369017</v>
      </c>
      <c r="AI36" s="26">
        <f t="shared" si="65"/>
        <v>92419</v>
      </c>
      <c r="AJ36" s="26">
        <f t="shared" si="65"/>
        <v>275069</v>
      </c>
      <c r="AK36" s="26">
        <f t="shared" si="65"/>
        <v>367488</v>
      </c>
      <c r="AL36" s="26">
        <f t="shared" si="65"/>
        <v>84247</v>
      </c>
      <c r="AM36" s="26">
        <f t="shared" si="65"/>
        <v>287784</v>
      </c>
      <c r="AN36" s="26">
        <f t="shared" si="65"/>
        <v>372031</v>
      </c>
      <c r="AO36" s="26">
        <f t="shared" si="65"/>
        <v>2229</v>
      </c>
      <c r="AP36" s="26">
        <f t="shared" si="65"/>
        <v>7422</v>
      </c>
      <c r="AQ36" s="26">
        <f t="shared" si="65"/>
        <v>9651</v>
      </c>
      <c r="AR36" s="26">
        <f t="shared" si="65"/>
        <v>6751</v>
      </c>
      <c r="AS36" s="26">
        <f t="shared" si="65"/>
        <v>20727</v>
      </c>
      <c r="AT36" s="26">
        <f t="shared" si="65"/>
        <v>27478</v>
      </c>
      <c r="AU36" s="26">
        <f t="shared" si="65"/>
        <v>6446</v>
      </c>
      <c r="AV36" s="26">
        <f t="shared" si="65"/>
        <v>31812</v>
      </c>
      <c r="AW36" s="26">
        <f t="shared" si="65"/>
        <v>38258</v>
      </c>
      <c r="AX36" s="26">
        <f t="shared" si="65"/>
        <v>5045.1000000000004</v>
      </c>
      <c r="AY36" s="26">
        <f t="shared" si="65"/>
        <v>14692.83</v>
      </c>
      <c r="AZ36" s="26">
        <f t="shared" si="65"/>
        <v>19737.93</v>
      </c>
      <c r="BA36" s="26">
        <f t="shared" si="65"/>
        <v>23006</v>
      </c>
      <c r="BB36" s="26">
        <f t="shared" si="65"/>
        <v>13371</v>
      </c>
      <c r="BC36" s="26">
        <f t="shared" si="65"/>
        <v>36377</v>
      </c>
      <c r="BD36" s="26">
        <f t="shared" si="65"/>
        <v>19797.820000000003</v>
      </c>
      <c r="BE36" s="26">
        <f t="shared" si="65"/>
        <v>499128.23</v>
      </c>
      <c r="BF36" s="26">
        <f t="shared" si="65"/>
        <v>518926.05</v>
      </c>
      <c r="BG36" s="26">
        <f t="shared" si="65"/>
        <v>8342</v>
      </c>
      <c r="BH36" s="26">
        <f t="shared" si="65"/>
        <v>12473</v>
      </c>
      <c r="BI36" s="26">
        <f t="shared" si="65"/>
        <v>20815</v>
      </c>
      <c r="BJ36" s="26">
        <f t="shared" si="65"/>
        <v>1449</v>
      </c>
      <c r="BK36" s="26">
        <f t="shared" si="65"/>
        <v>6341</v>
      </c>
      <c r="BL36" s="26">
        <f t="shared" si="65"/>
        <v>7790</v>
      </c>
      <c r="BM36" s="26">
        <f t="shared" si="65"/>
        <v>31165</v>
      </c>
      <c r="BN36" s="26">
        <f t="shared" ref="BN36:CP36" si="66">SUM(BN22:BN35)</f>
        <v>159594</v>
      </c>
      <c r="BO36" s="26">
        <f t="shared" si="66"/>
        <v>112718</v>
      </c>
      <c r="BP36" s="26">
        <f t="shared" si="66"/>
        <v>26388</v>
      </c>
      <c r="BQ36" s="26">
        <f t="shared" si="66"/>
        <v>135336</v>
      </c>
      <c r="BR36" s="26">
        <f t="shared" si="66"/>
        <v>161724</v>
      </c>
      <c r="BS36" s="26">
        <f t="shared" si="66"/>
        <v>2370</v>
      </c>
      <c r="BT36" s="26">
        <f t="shared" si="66"/>
        <v>94628</v>
      </c>
      <c r="BU36" s="26">
        <f t="shared" si="66"/>
        <v>96998</v>
      </c>
      <c r="BV36" s="26">
        <f t="shared" si="66"/>
        <v>6803.28</v>
      </c>
      <c r="BW36" s="26">
        <f t="shared" si="66"/>
        <v>39547</v>
      </c>
      <c r="BX36" s="26">
        <f t="shared" si="66"/>
        <v>46350.28</v>
      </c>
      <c r="BY36" s="26">
        <f t="shared" si="66"/>
        <v>64876</v>
      </c>
      <c r="BZ36" s="26">
        <f t="shared" si="66"/>
        <v>95996</v>
      </c>
      <c r="CA36" s="26">
        <f t="shared" si="66"/>
        <v>160872</v>
      </c>
      <c r="CB36" s="26">
        <f t="shared" si="66"/>
        <v>28381</v>
      </c>
      <c r="CC36" s="26">
        <f t="shared" si="66"/>
        <v>131940</v>
      </c>
      <c r="CD36" s="26">
        <f t="shared" si="66"/>
        <v>160321</v>
      </c>
      <c r="CE36" s="26">
        <f t="shared" si="66"/>
        <v>0</v>
      </c>
      <c r="CF36" s="26">
        <f t="shared" si="66"/>
        <v>0</v>
      </c>
      <c r="CG36" s="26">
        <f t="shared" si="66"/>
        <v>0</v>
      </c>
      <c r="CH36" s="26">
        <f t="shared" si="66"/>
        <v>-28196</v>
      </c>
      <c r="CI36" s="26">
        <f t="shared" si="66"/>
        <v>230318</v>
      </c>
      <c r="CJ36" s="26">
        <f t="shared" si="66"/>
        <v>202122</v>
      </c>
      <c r="CK36" s="26">
        <f t="shared" si="66"/>
        <v>10657.66</v>
      </c>
      <c r="CL36" s="26">
        <f t="shared" si="66"/>
        <v>238353.31</v>
      </c>
      <c r="CM36" s="26">
        <f t="shared" si="66"/>
        <v>249010.96999999997</v>
      </c>
      <c r="CN36" s="26">
        <f t="shared" si="66"/>
        <v>19436</v>
      </c>
      <c r="CO36" s="26">
        <f t="shared" si="66"/>
        <v>63249</v>
      </c>
      <c r="CP36" s="26">
        <f t="shared" si="66"/>
        <v>82685</v>
      </c>
    </row>
    <row r="37" spans="1:94" s="4" customFormat="1" x14ac:dyDescent="0.25">
      <c r="A37" s="38" t="s">
        <v>40</v>
      </c>
      <c r="B37" s="26">
        <f t="shared" ref="B37:BM37" si="67">B36+B20</f>
        <v>106493</v>
      </c>
      <c r="C37" s="26">
        <f t="shared" si="67"/>
        <v>98087</v>
      </c>
      <c r="D37" s="26">
        <f t="shared" si="67"/>
        <v>204580</v>
      </c>
      <c r="E37" s="26">
        <f t="shared" si="67"/>
        <v>43066</v>
      </c>
      <c r="F37" s="26">
        <f t="shared" si="67"/>
        <v>152492</v>
      </c>
      <c r="G37" s="26">
        <f t="shared" si="67"/>
        <v>195558</v>
      </c>
      <c r="H37" s="26">
        <f t="shared" si="67"/>
        <v>314821</v>
      </c>
      <c r="I37" s="26">
        <f t="shared" si="67"/>
        <v>1175227</v>
      </c>
      <c r="J37" s="26">
        <f t="shared" si="67"/>
        <v>1490048</v>
      </c>
      <c r="K37" s="26">
        <f t="shared" si="67"/>
        <v>791195</v>
      </c>
      <c r="L37" s="26">
        <f t="shared" si="67"/>
        <v>1790820</v>
      </c>
      <c r="M37" s="26">
        <f t="shared" si="67"/>
        <v>2582015</v>
      </c>
      <c r="N37" s="26">
        <f t="shared" si="67"/>
        <v>161913</v>
      </c>
      <c r="O37" s="26">
        <f t="shared" si="67"/>
        <v>285058</v>
      </c>
      <c r="P37" s="26">
        <f t="shared" si="67"/>
        <v>446971</v>
      </c>
      <c r="Q37" s="26">
        <f t="shared" si="67"/>
        <v>161412</v>
      </c>
      <c r="R37" s="26">
        <f t="shared" si="67"/>
        <v>1175348</v>
      </c>
      <c r="S37" s="26">
        <f t="shared" si="67"/>
        <v>1336760</v>
      </c>
      <c r="T37" s="26">
        <f t="shared" si="67"/>
        <v>712463.08</v>
      </c>
      <c r="U37" s="26">
        <f t="shared" si="67"/>
        <v>712463.08</v>
      </c>
      <c r="V37" s="26">
        <f t="shared" si="67"/>
        <v>1424926.1600000001</v>
      </c>
      <c r="W37" s="26">
        <f t="shared" si="67"/>
        <v>9176</v>
      </c>
      <c r="X37" s="26">
        <f t="shared" si="67"/>
        <v>44758</v>
      </c>
      <c r="Y37" s="26">
        <f t="shared" si="67"/>
        <v>52460</v>
      </c>
      <c r="Z37" s="26">
        <f t="shared" si="67"/>
        <v>127396.33</v>
      </c>
      <c r="AA37" s="26">
        <f t="shared" si="67"/>
        <v>446969.11000000004</v>
      </c>
      <c r="AB37" s="26">
        <f t="shared" si="67"/>
        <v>574365.43999999994</v>
      </c>
      <c r="AC37" s="26">
        <f t="shared" si="67"/>
        <v>145891</v>
      </c>
      <c r="AD37" s="26">
        <f t="shared" si="67"/>
        <v>963345</v>
      </c>
      <c r="AE37" s="26">
        <f t="shared" si="67"/>
        <v>1109236</v>
      </c>
      <c r="AF37" s="26">
        <f t="shared" si="67"/>
        <v>405915</v>
      </c>
      <c r="AG37" s="26">
        <f t="shared" si="67"/>
        <v>1581515</v>
      </c>
      <c r="AH37" s="26">
        <f t="shared" si="67"/>
        <v>1987430</v>
      </c>
      <c r="AI37" s="26">
        <f t="shared" si="67"/>
        <v>944763</v>
      </c>
      <c r="AJ37" s="26">
        <f t="shared" si="67"/>
        <v>3064860</v>
      </c>
      <c r="AK37" s="26">
        <f t="shared" si="67"/>
        <v>4009623</v>
      </c>
      <c r="AL37" s="26">
        <f t="shared" si="67"/>
        <v>356208</v>
      </c>
      <c r="AM37" s="26">
        <f t="shared" si="67"/>
        <v>1216765</v>
      </c>
      <c r="AN37" s="26">
        <f t="shared" si="67"/>
        <v>1572973</v>
      </c>
      <c r="AO37" s="26">
        <f t="shared" si="67"/>
        <v>33618</v>
      </c>
      <c r="AP37" s="26">
        <f t="shared" si="67"/>
        <v>115903</v>
      </c>
      <c r="AQ37" s="26">
        <f t="shared" si="67"/>
        <v>149521</v>
      </c>
      <c r="AR37" s="26">
        <f t="shared" si="67"/>
        <v>84475</v>
      </c>
      <c r="AS37" s="26">
        <f t="shared" si="67"/>
        <v>259347</v>
      </c>
      <c r="AT37" s="26">
        <f t="shared" si="67"/>
        <v>343822</v>
      </c>
      <c r="AU37" s="26">
        <f t="shared" si="67"/>
        <v>77821</v>
      </c>
      <c r="AV37" s="26">
        <f t="shared" si="67"/>
        <v>384009</v>
      </c>
      <c r="AW37" s="26">
        <f t="shared" si="67"/>
        <v>461830</v>
      </c>
      <c r="AX37" s="26">
        <f t="shared" si="67"/>
        <v>34599.670000000006</v>
      </c>
      <c r="AY37" s="26">
        <f t="shared" si="67"/>
        <v>76602.87999999999</v>
      </c>
      <c r="AZ37" s="26">
        <f t="shared" si="67"/>
        <v>111202.54999999999</v>
      </c>
      <c r="BA37" s="26">
        <f t="shared" si="67"/>
        <v>99305</v>
      </c>
      <c r="BB37" s="26">
        <f t="shared" si="67"/>
        <v>176223</v>
      </c>
      <c r="BC37" s="26">
        <f t="shared" si="67"/>
        <v>275528</v>
      </c>
      <c r="BD37" s="26">
        <f t="shared" si="67"/>
        <v>126311.04000000001</v>
      </c>
      <c r="BE37" s="26">
        <f t="shared" si="67"/>
        <v>3184460.7700000005</v>
      </c>
      <c r="BF37" s="26">
        <f t="shared" si="67"/>
        <v>3310771.81</v>
      </c>
      <c r="BG37" s="26">
        <f t="shared" si="67"/>
        <v>13720</v>
      </c>
      <c r="BH37" s="26">
        <f t="shared" si="67"/>
        <v>39388</v>
      </c>
      <c r="BI37" s="26">
        <f t="shared" si="67"/>
        <v>53108</v>
      </c>
      <c r="BJ37" s="26">
        <f t="shared" si="67"/>
        <v>16023</v>
      </c>
      <c r="BK37" s="26">
        <f t="shared" si="67"/>
        <v>70104</v>
      </c>
      <c r="BL37" s="26">
        <f t="shared" si="67"/>
        <v>86127</v>
      </c>
      <c r="BM37" s="26">
        <f t="shared" si="67"/>
        <v>254889</v>
      </c>
      <c r="BN37" s="26">
        <f t="shared" ref="BN37:CP37" si="68">BN36+BN20</f>
        <v>1305249</v>
      </c>
      <c r="BO37" s="26">
        <f t="shared" si="68"/>
        <v>1482097</v>
      </c>
      <c r="BP37" s="26">
        <f t="shared" si="68"/>
        <v>121473</v>
      </c>
      <c r="BQ37" s="26">
        <f t="shared" si="68"/>
        <v>622999</v>
      </c>
      <c r="BR37" s="26">
        <f t="shared" si="68"/>
        <v>744472</v>
      </c>
      <c r="BS37" s="26">
        <f t="shared" si="68"/>
        <v>232101</v>
      </c>
      <c r="BT37" s="26">
        <f t="shared" si="68"/>
        <v>925678</v>
      </c>
      <c r="BU37" s="26">
        <f t="shared" si="68"/>
        <v>1157779</v>
      </c>
      <c r="BV37" s="26">
        <f t="shared" si="68"/>
        <v>138194.47</v>
      </c>
      <c r="BW37" s="26">
        <f t="shared" si="68"/>
        <v>965873</v>
      </c>
      <c r="BX37" s="26">
        <f t="shared" si="68"/>
        <v>1104067.47</v>
      </c>
      <c r="BY37" s="26">
        <f t="shared" si="68"/>
        <v>469942</v>
      </c>
      <c r="BZ37" s="26">
        <f t="shared" si="68"/>
        <v>695370</v>
      </c>
      <c r="CA37" s="26">
        <f t="shared" si="68"/>
        <v>1165312</v>
      </c>
      <c r="CB37" s="26">
        <f t="shared" si="68"/>
        <v>381983</v>
      </c>
      <c r="CC37" s="26">
        <f t="shared" si="68"/>
        <v>1775735</v>
      </c>
      <c r="CD37" s="26">
        <f t="shared" si="68"/>
        <v>2157718</v>
      </c>
      <c r="CE37" s="26">
        <f t="shared" si="68"/>
        <v>0</v>
      </c>
      <c r="CF37" s="26">
        <f t="shared" si="68"/>
        <v>0</v>
      </c>
      <c r="CG37" s="26">
        <f t="shared" si="68"/>
        <v>0</v>
      </c>
      <c r="CH37" s="26">
        <f t="shared" si="68"/>
        <v>-400100</v>
      </c>
      <c r="CI37" s="26">
        <f t="shared" si="68"/>
        <v>3268195</v>
      </c>
      <c r="CJ37" s="26">
        <f t="shared" si="68"/>
        <v>2868095</v>
      </c>
      <c r="CK37" s="26">
        <f t="shared" si="68"/>
        <v>155885.28</v>
      </c>
      <c r="CL37" s="26">
        <f t="shared" si="68"/>
        <v>3486294.1300000004</v>
      </c>
      <c r="CM37" s="26">
        <f t="shared" si="68"/>
        <v>3642179.41</v>
      </c>
      <c r="CN37" s="26">
        <f t="shared" si="68"/>
        <v>89735</v>
      </c>
      <c r="CO37" s="26">
        <f t="shared" si="68"/>
        <v>292016</v>
      </c>
      <c r="CP37" s="26">
        <f t="shared" si="68"/>
        <v>381751</v>
      </c>
    </row>
  </sheetData>
  <mergeCells count="32">
    <mergeCell ref="AX3:AZ3"/>
    <mergeCell ref="BA3:BC3"/>
    <mergeCell ref="BP3:BR3"/>
    <mergeCell ref="BD3:BF3"/>
    <mergeCell ref="BG3:BI3"/>
    <mergeCell ref="BJ3:BL3"/>
    <mergeCell ref="BM3:BO3"/>
    <mergeCell ref="K3:M3"/>
    <mergeCell ref="Q3:S3"/>
    <mergeCell ref="AO3:AQ3"/>
    <mergeCell ref="AR3:AT3"/>
    <mergeCell ref="AC3:AE3"/>
    <mergeCell ref="W3:Y3"/>
    <mergeCell ref="AF3:AH3"/>
    <mergeCell ref="AI3:AK3"/>
    <mergeCell ref="AL3:AN3"/>
    <mergeCell ref="A3:A4"/>
    <mergeCell ref="CN3:CP3"/>
    <mergeCell ref="CE3:CG3"/>
    <mergeCell ref="CH3:CJ3"/>
    <mergeCell ref="BV3:BX3"/>
    <mergeCell ref="BY3:CA3"/>
    <mergeCell ref="CB3:CD3"/>
    <mergeCell ref="CK3:CM3"/>
    <mergeCell ref="BS3:BU3"/>
    <mergeCell ref="AU3:AW3"/>
    <mergeCell ref="N3:P3"/>
    <mergeCell ref="T3:V3"/>
    <mergeCell ref="Z3:AB3"/>
    <mergeCell ref="B3:D3"/>
    <mergeCell ref="E3:G3"/>
    <mergeCell ref="H3:J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3" customWidth="1"/>
    <col min="2" max="32" width="16" style="3" customWidth="1"/>
    <col min="33" max="33" width="16" style="4" customWidth="1"/>
    <col min="34" max="16384" width="9.140625" style="3"/>
  </cols>
  <sheetData>
    <row r="1" spans="1:33" ht="18.75" x14ac:dyDescent="0.3">
      <c r="A1" s="5" t="s">
        <v>306</v>
      </c>
    </row>
    <row r="2" spans="1:33" x14ac:dyDescent="0.25">
      <c r="A2" s="2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  <c r="AG3" s="43" t="s">
        <v>20</v>
      </c>
    </row>
    <row r="4" spans="1:33" x14ac:dyDescent="0.25">
      <c r="A4" s="45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39"/>
    </row>
    <row r="5" spans="1:33" x14ac:dyDescent="0.25">
      <c r="A5" s="36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44">
        <f t="shared" ref="AG5:AG12" si="0">SUM(B5:AF5)</f>
        <v>0</v>
      </c>
    </row>
    <row r="6" spans="1:33" x14ac:dyDescent="0.25">
      <c r="A6" s="36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44">
        <f t="shared" si="0"/>
        <v>0</v>
      </c>
    </row>
    <row r="7" spans="1:33" x14ac:dyDescent="0.25">
      <c r="A7" s="36" t="s">
        <v>44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>
        <v>2224.91</v>
      </c>
      <c r="T7" s="24"/>
      <c r="U7" s="24"/>
      <c r="V7" s="24"/>
      <c r="W7" s="24"/>
      <c r="X7" s="24"/>
      <c r="Y7" s="24"/>
      <c r="Z7" s="24"/>
      <c r="AA7" s="24"/>
      <c r="AB7" s="24"/>
      <c r="AC7" s="24">
        <v>28984</v>
      </c>
      <c r="AD7" s="24"/>
      <c r="AE7" s="24">
        <v>16263</v>
      </c>
      <c r="AF7" s="24"/>
      <c r="AG7" s="44">
        <f t="shared" si="0"/>
        <v>47471.91</v>
      </c>
    </row>
    <row r="8" spans="1:33" x14ac:dyDescent="0.25">
      <c r="A8" s="36" t="s">
        <v>45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44">
        <f t="shared" si="0"/>
        <v>0</v>
      </c>
    </row>
    <row r="9" spans="1:33" x14ac:dyDescent="0.25">
      <c r="A9" s="36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44">
        <f t="shared" si="0"/>
        <v>0</v>
      </c>
    </row>
    <row r="10" spans="1:33" x14ac:dyDescent="0.25">
      <c r="A10" s="36" t="s">
        <v>47</v>
      </c>
      <c r="B10" s="24"/>
      <c r="C10" s="24"/>
      <c r="D10" s="24">
        <v>1428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>
        <v>3851</v>
      </c>
      <c r="AD10" s="24">
        <v>12977</v>
      </c>
      <c r="AE10" s="24">
        <v>2941</v>
      </c>
      <c r="AF10" s="24"/>
      <c r="AG10" s="44">
        <f t="shared" si="0"/>
        <v>21197</v>
      </c>
    </row>
    <row r="11" spans="1:33" x14ac:dyDescent="0.25">
      <c r="A11" s="36" t="s">
        <v>48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v>56</v>
      </c>
      <c r="R11" s="24"/>
      <c r="S11" s="24">
        <v>1008.18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>
        <v>643</v>
      </c>
      <c r="AE11" s="24">
        <v>1140</v>
      </c>
      <c r="AF11" s="24"/>
      <c r="AG11" s="44">
        <f t="shared" si="0"/>
        <v>2847.18</v>
      </c>
    </row>
    <row r="12" spans="1:33" s="4" customFormat="1" x14ac:dyDescent="0.25">
      <c r="A12" s="38" t="s">
        <v>40</v>
      </c>
      <c r="B12" s="26">
        <f>SUM(B5:B11)</f>
        <v>0</v>
      </c>
      <c r="C12" s="26">
        <f t="shared" ref="C12:AB12" si="1">SUM(C5:C11)</f>
        <v>0</v>
      </c>
      <c r="D12" s="26">
        <f t="shared" si="1"/>
        <v>1428</v>
      </c>
      <c r="E12" s="26">
        <f t="shared" si="1"/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  <c r="I12" s="26">
        <f t="shared" si="1"/>
        <v>0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f t="shared" si="1"/>
        <v>0</v>
      </c>
      <c r="O12" s="26">
        <f t="shared" si="1"/>
        <v>0</v>
      </c>
      <c r="P12" s="26">
        <f t="shared" si="1"/>
        <v>0</v>
      </c>
      <c r="Q12" s="26">
        <f t="shared" si="1"/>
        <v>56</v>
      </c>
      <c r="R12" s="26">
        <f t="shared" si="1"/>
        <v>0</v>
      </c>
      <c r="S12" s="26">
        <f t="shared" si="1"/>
        <v>3233.0899999999997</v>
      </c>
      <c r="T12" s="26">
        <f t="shared" si="1"/>
        <v>0</v>
      </c>
      <c r="U12" s="26">
        <f t="shared" si="1"/>
        <v>0</v>
      </c>
      <c r="V12" s="26">
        <f t="shared" si="1"/>
        <v>0</v>
      </c>
      <c r="W12" s="26">
        <f t="shared" si="1"/>
        <v>0</v>
      </c>
      <c r="X12" s="26">
        <f t="shared" si="1"/>
        <v>0</v>
      </c>
      <c r="Y12" s="26">
        <f t="shared" si="1"/>
        <v>0</v>
      </c>
      <c r="Z12" s="26">
        <f t="shared" si="1"/>
        <v>0</v>
      </c>
      <c r="AA12" s="26">
        <f t="shared" si="1"/>
        <v>0</v>
      </c>
      <c r="AB12" s="26">
        <f t="shared" si="1"/>
        <v>0</v>
      </c>
      <c r="AC12" s="26">
        <f t="shared" ref="AC12:AF12" si="2">SUM(AC5:AC11)</f>
        <v>32835</v>
      </c>
      <c r="AD12" s="26">
        <f>SUM(AD5:AD11)</f>
        <v>13620</v>
      </c>
      <c r="AE12" s="26">
        <f t="shared" si="2"/>
        <v>20344</v>
      </c>
      <c r="AF12" s="26">
        <f t="shared" si="2"/>
        <v>0</v>
      </c>
      <c r="AG12" s="39">
        <f t="shared" si="0"/>
        <v>71516.09</v>
      </c>
    </row>
    <row r="13" spans="1:33" x14ac:dyDescent="0.25">
      <c r="A13" s="45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39"/>
    </row>
    <row r="14" spans="1:33" x14ac:dyDescent="0.25">
      <c r="A14" s="36" t="s">
        <v>50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>
        <v>365.87</v>
      </c>
      <c r="T14" s="24"/>
      <c r="U14" s="24"/>
      <c r="V14" s="24"/>
      <c r="W14" s="24"/>
      <c r="X14" s="24"/>
      <c r="Y14" s="24"/>
      <c r="Z14" s="24"/>
      <c r="AA14" s="24"/>
      <c r="AB14" s="24"/>
      <c r="AC14" s="24">
        <v>1748</v>
      </c>
      <c r="AD14" s="24">
        <v>940</v>
      </c>
      <c r="AE14" s="24">
        <v>2941</v>
      </c>
      <c r="AF14" s="24"/>
      <c r="AG14" s="44">
        <f t="shared" ref="AG14:AG19" si="3">SUM(B14:AF14)</f>
        <v>5994.87</v>
      </c>
    </row>
    <row r="15" spans="1:33" x14ac:dyDescent="0.25">
      <c r="A15" s="36" t="s">
        <v>51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44">
        <f t="shared" si="3"/>
        <v>0</v>
      </c>
    </row>
    <row r="16" spans="1:33" x14ac:dyDescent="0.25">
      <c r="A16" s="36" t="s">
        <v>52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44">
        <f t="shared" si="3"/>
        <v>0</v>
      </c>
    </row>
    <row r="17" spans="1:33" x14ac:dyDescent="0.25">
      <c r="A17" s="36" t="s">
        <v>53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>
        <v>2860.83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>
        <v>1383</v>
      </c>
      <c r="AE17" s="24">
        <v>1540</v>
      </c>
      <c r="AF17" s="24"/>
      <c r="AG17" s="44">
        <f t="shared" si="3"/>
        <v>5783.83</v>
      </c>
    </row>
    <row r="18" spans="1:33" x14ac:dyDescent="0.25">
      <c r="A18" s="36" t="s">
        <v>54</v>
      </c>
      <c r="B18" s="24"/>
      <c r="C18" s="24"/>
      <c r="D18" s="24">
        <v>1428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v>56</v>
      </c>
      <c r="R18" s="24"/>
      <c r="S18" s="24">
        <v>6.39</v>
      </c>
      <c r="T18" s="24"/>
      <c r="U18" s="24"/>
      <c r="V18" s="24"/>
      <c r="W18" s="24"/>
      <c r="X18" s="24"/>
      <c r="Y18" s="24"/>
      <c r="Z18" s="24"/>
      <c r="AA18" s="24"/>
      <c r="AB18" s="24"/>
      <c r="AC18" s="24">
        <v>31087</v>
      </c>
      <c r="AD18" s="24">
        <v>11298</v>
      </c>
      <c r="AE18" s="24">
        <v>15863</v>
      </c>
      <c r="AF18" s="24"/>
      <c r="AG18" s="44">
        <f t="shared" si="3"/>
        <v>59738.39</v>
      </c>
    </row>
    <row r="19" spans="1:33" s="4" customFormat="1" x14ac:dyDescent="0.25">
      <c r="A19" s="38" t="s">
        <v>40</v>
      </c>
      <c r="B19" s="26">
        <f>SUM(B14:B18)</f>
        <v>0</v>
      </c>
      <c r="C19" s="26">
        <f t="shared" ref="C19:AB19" si="4">SUM(C14:C18)</f>
        <v>0</v>
      </c>
      <c r="D19" s="26">
        <f t="shared" si="4"/>
        <v>1428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56</v>
      </c>
      <c r="R19" s="26">
        <f t="shared" si="4"/>
        <v>0</v>
      </c>
      <c r="S19" s="26">
        <f t="shared" si="4"/>
        <v>3233.0899999999997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ref="AC19:AF19" si="5">SUM(AC14:AC18)</f>
        <v>32835</v>
      </c>
      <c r="AD19" s="26">
        <f t="shared" si="5"/>
        <v>13621</v>
      </c>
      <c r="AE19" s="26">
        <f t="shared" si="5"/>
        <v>20344</v>
      </c>
      <c r="AF19" s="26">
        <f t="shared" si="5"/>
        <v>0</v>
      </c>
      <c r="AG19" s="39">
        <f t="shared" si="3"/>
        <v>71517.09</v>
      </c>
    </row>
    <row r="20" spans="1:33" x14ac:dyDescent="0.25">
      <c r="A20" s="45" t="s">
        <v>55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39"/>
    </row>
    <row r="21" spans="1:33" x14ac:dyDescent="0.25">
      <c r="A21" s="36" t="s">
        <v>56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44">
        <f t="shared" ref="AG21:AG28" si="6">SUM(B21:AF21)</f>
        <v>0</v>
      </c>
    </row>
    <row r="22" spans="1:33" x14ac:dyDescent="0.25">
      <c r="A22" s="36" t="s">
        <v>44</v>
      </c>
      <c r="B22" s="24"/>
      <c r="C22" s="24"/>
      <c r="D22" s="24">
        <v>1428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>
        <v>56</v>
      </c>
      <c r="R22" s="24"/>
      <c r="S22" s="24">
        <v>367.28</v>
      </c>
      <c r="T22" s="24"/>
      <c r="U22" s="24"/>
      <c r="V22" s="24"/>
      <c r="W22" s="24"/>
      <c r="X22" s="24"/>
      <c r="Y22" s="24"/>
      <c r="Z22" s="24"/>
      <c r="AA22" s="24"/>
      <c r="AB22" s="24"/>
      <c r="AC22" s="24">
        <v>32834</v>
      </c>
      <c r="AD22" s="24">
        <v>12214</v>
      </c>
      <c r="AE22" s="24">
        <v>18792</v>
      </c>
      <c r="AF22" s="24"/>
      <c r="AG22" s="44">
        <f t="shared" si="6"/>
        <v>65691.28</v>
      </c>
    </row>
    <row r="23" spans="1:33" x14ac:dyDescent="0.25">
      <c r="A23" s="36" t="s">
        <v>45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44">
        <f t="shared" si="6"/>
        <v>0</v>
      </c>
    </row>
    <row r="24" spans="1:33" x14ac:dyDescent="0.25">
      <c r="A24" s="36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44">
        <f t="shared" si="6"/>
        <v>0</v>
      </c>
    </row>
    <row r="25" spans="1:33" x14ac:dyDescent="0.25">
      <c r="A25" s="36" t="s">
        <v>44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>
        <v>2865.81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>
        <v>1552</v>
      </c>
      <c r="AF25" s="24"/>
      <c r="AG25" s="44">
        <f t="shared" si="6"/>
        <v>4417.8099999999995</v>
      </c>
    </row>
    <row r="26" spans="1:33" x14ac:dyDescent="0.25">
      <c r="A26" s="36" t="s">
        <v>45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44">
        <f t="shared" si="6"/>
        <v>0</v>
      </c>
    </row>
    <row r="27" spans="1:33" x14ac:dyDescent="0.25">
      <c r="A27" s="36" t="s">
        <v>58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>
        <v>1406</v>
      </c>
      <c r="AE27" s="24"/>
      <c r="AF27" s="24"/>
      <c r="AG27" s="44">
        <f t="shared" si="6"/>
        <v>1406</v>
      </c>
    </row>
    <row r="28" spans="1:33" s="4" customFormat="1" x14ac:dyDescent="0.25">
      <c r="A28" s="38" t="s">
        <v>40</v>
      </c>
      <c r="B28" s="26">
        <f>SUM(B21:B27)</f>
        <v>0</v>
      </c>
      <c r="C28" s="26">
        <f t="shared" ref="C28:AB28" si="7">SUM(C21:C27)</f>
        <v>0</v>
      </c>
      <c r="D28" s="26">
        <f t="shared" si="7"/>
        <v>1428</v>
      </c>
      <c r="E28" s="26">
        <f t="shared" si="7"/>
        <v>0</v>
      </c>
      <c r="F28" s="26">
        <f t="shared" si="7"/>
        <v>0</v>
      </c>
      <c r="G28" s="26">
        <f t="shared" si="7"/>
        <v>0</v>
      </c>
      <c r="H28" s="26">
        <f t="shared" si="7"/>
        <v>0</v>
      </c>
      <c r="I28" s="26">
        <f t="shared" si="7"/>
        <v>0</v>
      </c>
      <c r="J28" s="26">
        <f t="shared" si="7"/>
        <v>0</v>
      </c>
      <c r="K28" s="26">
        <f t="shared" si="7"/>
        <v>0</v>
      </c>
      <c r="L28" s="26">
        <f t="shared" si="7"/>
        <v>0</v>
      </c>
      <c r="M28" s="26">
        <f t="shared" si="7"/>
        <v>0</v>
      </c>
      <c r="N28" s="26">
        <f t="shared" si="7"/>
        <v>0</v>
      </c>
      <c r="O28" s="26">
        <f t="shared" si="7"/>
        <v>0</v>
      </c>
      <c r="P28" s="26">
        <f t="shared" si="7"/>
        <v>0</v>
      </c>
      <c r="Q28" s="26">
        <f t="shared" si="7"/>
        <v>56</v>
      </c>
      <c r="R28" s="26">
        <f t="shared" si="7"/>
        <v>0</v>
      </c>
      <c r="S28" s="26">
        <f t="shared" si="7"/>
        <v>3233.09</v>
      </c>
      <c r="T28" s="26">
        <f t="shared" si="7"/>
        <v>0</v>
      </c>
      <c r="U28" s="26">
        <f t="shared" si="7"/>
        <v>0</v>
      </c>
      <c r="V28" s="26">
        <f t="shared" si="7"/>
        <v>0</v>
      </c>
      <c r="W28" s="26">
        <f t="shared" si="7"/>
        <v>0</v>
      </c>
      <c r="X28" s="26">
        <f t="shared" si="7"/>
        <v>0</v>
      </c>
      <c r="Y28" s="26">
        <f t="shared" si="7"/>
        <v>0</v>
      </c>
      <c r="Z28" s="26">
        <f t="shared" si="7"/>
        <v>0</v>
      </c>
      <c r="AA28" s="26">
        <f t="shared" si="7"/>
        <v>0</v>
      </c>
      <c r="AB28" s="26">
        <f t="shared" si="7"/>
        <v>0</v>
      </c>
      <c r="AC28" s="26">
        <f t="shared" ref="AC28:AF28" si="8">SUM(AC21:AC27)</f>
        <v>32834</v>
      </c>
      <c r="AD28" s="26">
        <f t="shared" si="8"/>
        <v>13620</v>
      </c>
      <c r="AE28" s="26">
        <f t="shared" si="8"/>
        <v>20344</v>
      </c>
      <c r="AF28" s="26">
        <f t="shared" si="8"/>
        <v>0</v>
      </c>
      <c r="AG28" s="39">
        <f t="shared" si="6"/>
        <v>71515.09</v>
      </c>
    </row>
    <row r="29" spans="1:33" x14ac:dyDescent="0.25">
      <c r="A29" s="45" t="s">
        <v>59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39"/>
    </row>
    <row r="30" spans="1:33" x14ac:dyDescent="0.25">
      <c r="A30" s="36" t="s">
        <v>60</v>
      </c>
      <c r="B30" s="24"/>
      <c r="C30" s="24"/>
      <c r="D30" s="24">
        <v>98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>
        <v>53.72</v>
      </c>
      <c r="T30" s="24"/>
      <c r="U30" s="24"/>
      <c r="V30" s="24"/>
      <c r="W30" s="24"/>
      <c r="X30" s="24"/>
      <c r="Y30" s="24"/>
      <c r="Z30" s="24"/>
      <c r="AA30" s="24"/>
      <c r="AB30" s="24"/>
      <c r="AC30" s="24">
        <v>407</v>
      </c>
      <c r="AD30" s="24">
        <v>341</v>
      </c>
      <c r="AE30" s="24">
        <v>784</v>
      </c>
      <c r="AF30" s="24"/>
      <c r="AG30" s="44">
        <f>SUM(B30:AF30)</f>
        <v>1683.72</v>
      </c>
    </row>
    <row r="31" spans="1:33" x14ac:dyDescent="0.25">
      <c r="A31" s="36" t="s">
        <v>61</v>
      </c>
      <c r="B31" s="24"/>
      <c r="C31" s="24"/>
      <c r="D31" s="24">
        <v>1330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>
        <v>56</v>
      </c>
      <c r="R31" s="24"/>
      <c r="S31" s="24">
        <v>3179.37</v>
      </c>
      <c r="T31" s="24"/>
      <c r="U31" s="24"/>
      <c r="V31" s="24"/>
      <c r="W31" s="24"/>
      <c r="X31" s="24"/>
      <c r="Y31" s="24"/>
      <c r="Z31" s="24"/>
      <c r="AA31" s="24"/>
      <c r="AB31" s="24"/>
      <c r="AC31" s="24">
        <v>32427</v>
      </c>
      <c r="AD31" s="24">
        <v>13279</v>
      </c>
      <c r="AE31" s="24">
        <v>19560</v>
      </c>
      <c r="AF31" s="24"/>
      <c r="AG31" s="44">
        <f>SUM(B31:AF31)</f>
        <v>69831.37</v>
      </c>
    </row>
    <row r="32" spans="1:33" s="4" customFormat="1" x14ac:dyDescent="0.25">
      <c r="A32" s="38" t="s">
        <v>40</v>
      </c>
      <c r="B32" s="26">
        <f>SUM(B30:B31)</f>
        <v>0</v>
      </c>
      <c r="C32" s="26">
        <f t="shared" ref="C32:AB32" si="9">SUM(C30:C31)</f>
        <v>0</v>
      </c>
      <c r="D32" s="26">
        <f t="shared" si="9"/>
        <v>1428</v>
      </c>
      <c r="E32" s="26">
        <f t="shared" si="9"/>
        <v>0</v>
      </c>
      <c r="F32" s="26">
        <f t="shared" si="9"/>
        <v>0</v>
      </c>
      <c r="G32" s="26">
        <f t="shared" si="9"/>
        <v>0</v>
      </c>
      <c r="H32" s="26">
        <f t="shared" si="9"/>
        <v>0</v>
      </c>
      <c r="I32" s="26">
        <f t="shared" si="9"/>
        <v>0</v>
      </c>
      <c r="J32" s="26">
        <f t="shared" si="9"/>
        <v>0</v>
      </c>
      <c r="K32" s="26">
        <f t="shared" si="9"/>
        <v>0</v>
      </c>
      <c r="L32" s="26">
        <f t="shared" si="9"/>
        <v>0</v>
      </c>
      <c r="M32" s="26">
        <f t="shared" si="9"/>
        <v>0</v>
      </c>
      <c r="N32" s="26">
        <f t="shared" si="9"/>
        <v>0</v>
      </c>
      <c r="O32" s="26">
        <f t="shared" si="9"/>
        <v>0</v>
      </c>
      <c r="P32" s="26">
        <f t="shared" si="9"/>
        <v>0</v>
      </c>
      <c r="Q32" s="26">
        <f t="shared" si="9"/>
        <v>56</v>
      </c>
      <c r="R32" s="26">
        <f t="shared" si="9"/>
        <v>0</v>
      </c>
      <c r="S32" s="26">
        <f t="shared" si="9"/>
        <v>3233.0899999999997</v>
      </c>
      <c r="T32" s="26">
        <f t="shared" si="9"/>
        <v>0</v>
      </c>
      <c r="U32" s="26">
        <f t="shared" si="9"/>
        <v>0</v>
      </c>
      <c r="V32" s="26">
        <f t="shared" si="9"/>
        <v>0</v>
      </c>
      <c r="W32" s="26">
        <f t="shared" si="9"/>
        <v>0</v>
      </c>
      <c r="X32" s="26">
        <f t="shared" si="9"/>
        <v>0</v>
      </c>
      <c r="Y32" s="26">
        <f t="shared" si="9"/>
        <v>0</v>
      </c>
      <c r="Z32" s="26">
        <f t="shared" si="9"/>
        <v>0</v>
      </c>
      <c r="AA32" s="26">
        <f t="shared" si="9"/>
        <v>0</v>
      </c>
      <c r="AB32" s="26">
        <f t="shared" si="9"/>
        <v>0</v>
      </c>
      <c r="AC32" s="26">
        <f t="shared" ref="AC32:AF32" si="10">SUM(AC30:AC31)</f>
        <v>32834</v>
      </c>
      <c r="AD32" s="26">
        <f t="shared" si="10"/>
        <v>13620</v>
      </c>
      <c r="AE32" s="26">
        <f t="shared" si="10"/>
        <v>20344</v>
      </c>
      <c r="AF32" s="26">
        <f t="shared" si="10"/>
        <v>0</v>
      </c>
      <c r="AG32" s="39">
        <f>SUM(B32:AF32)</f>
        <v>71515.09</v>
      </c>
    </row>
    <row r="52" spans="30:30" x14ac:dyDescent="0.25">
      <c r="AD52" s="3">
        <v>1108872</v>
      </c>
    </row>
    <row r="53" spans="30:30" x14ac:dyDescent="0.25">
      <c r="AD53" s="3">
        <v>263612</v>
      </c>
    </row>
    <row r="54" spans="30:30" x14ac:dyDescent="0.25">
      <c r="AD54" s="3">
        <f>SUM(AD52:AD53)</f>
        <v>1372484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3" customWidth="1"/>
    <col min="2" max="16" width="16" style="3" customWidth="1"/>
    <col min="17" max="17" width="18.140625" style="3" customWidth="1"/>
    <col min="18" max="32" width="16" style="3" customWidth="1"/>
    <col min="33" max="33" width="16" style="4" customWidth="1"/>
    <col min="34" max="16384" width="9.140625" style="3"/>
  </cols>
  <sheetData>
    <row r="1" spans="1:33" ht="18.75" x14ac:dyDescent="0.3">
      <c r="A1" s="5" t="s">
        <v>305</v>
      </c>
    </row>
    <row r="2" spans="1:33" x14ac:dyDescent="0.25">
      <c r="A2" s="2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93" t="s">
        <v>237</v>
      </c>
      <c r="AD3" s="30" t="s">
        <v>238</v>
      </c>
      <c r="AE3" s="30" t="s">
        <v>18</v>
      </c>
      <c r="AF3" s="30" t="s">
        <v>19</v>
      </c>
      <c r="AG3" s="43" t="s">
        <v>20</v>
      </c>
    </row>
    <row r="4" spans="1:33" x14ac:dyDescent="0.25">
      <c r="A4" s="36" t="s">
        <v>62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39">
        <f t="shared" ref="AG4:AG19" si="0">SUM(B4:AF4)</f>
        <v>0</v>
      </c>
    </row>
    <row r="5" spans="1:33" x14ac:dyDescent="0.25">
      <c r="A5" s="36" t="s">
        <v>63</v>
      </c>
      <c r="B5" s="24">
        <v>4</v>
      </c>
      <c r="C5" s="24">
        <v>9385</v>
      </c>
      <c r="D5" s="24">
        <v>1367</v>
      </c>
      <c r="E5" s="24">
        <v>4020</v>
      </c>
      <c r="F5" s="24">
        <v>2225</v>
      </c>
      <c r="G5" s="24">
        <v>1810</v>
      </c>
      <c r="H5" s="24">
        <v>162</v>
      </c>
      <c r="I5" s="24">
        <v>134.25</v>
      </c>
      <c r="J5" s="24">
        <v>967</v>
      </c>
      <c r="K5" s="24">
        <v>853.79</v>
      </c>
      <c r="L5" s="24">
        <v>7105</v>
      </c>
      <c r="M5" s="24">
        <v>14665</v>
      </c>
      <c r="N5" s="24">
        <v>1804</v>
      </c>
      <c r="O5" s="24">
        <v>533</v>
      </c>
      <c r="P5" s="24">
        <v>2377</v>
      </c>
      <c r="Q5" s="24">
        <v>1695</v>
      </c>
      <c r="R5" s="24">
        <v>1232.98</v>
      </c>
      <c r="S5" s="24">
        <v>2429.46</v>
      </c>
      <c r="T5" s="24"/>
      <c r="U5" s="24">
        <v>2236</v>
      </c>
      <c r="V5" s="24">
        <v>360</v>
      </c>
      <c r="W5" s="24">
        <v>6756</v>
      </c>
      <c r="X5" s="24">
        <v>1151</v>
      </c>
      <c r="Y5" s="24">
        <v>7864</v>
      </c>
      <c r="Z5" s="24">
        <v>104</v>
      </c>
      <c r="AA5" s="24">
        <v>4454</v>
      </c>
      <c r="AB5" s="24">
        <v>17703</v>
      </c>
      <c r="AC5" s="24"/>
      <c r="AD5" s="24">
        <v>109</v>
      </c>
      <c r="AE5" s="24">
        <v>4181</v>
      </c>
      <c r="AF5" s="24">
        <v>352</v>
      </c>
      <c r="AG5" s="44">
        <f t="shared" si="0"/>
        <v>98039.48000000001</v>
      </c>
    </row>
    <row r="6" spans="1:33" x14ac:dyDescent="0.25">
      <c r="A6" s="36" t="s">
        <v>64</v>
      </c>
      <c r="B6" s="24"/>
      <c r="C6" s="24"/>
      <c r="D6" s="24"/>
      <c r="E6" s="24">
        <v>9466</v>
      </c>
      <c r="F6" s="24"/>
      <c r="G6" s="24">
        <v>766</v>
      </c>
      <c r="H6" s="24">
        <v>648</v>
      </c>
      <c r="I6" s="24">
        <v>7481.52</v>
      </c>
      <c r="J6" s="24"/>
      <c r="K6" s="24"/>
      <c r="L6" s="24"/>
      <c r="M6" s="24">
        <v>24118</v>
      </c>
      <c r="N6" s="24">
        <v>1084</v>
      </c>
      <c r="O6" s="24"/>
      <c r="P6" s="24"/>
      <c r="Q6" s="24"/>
      <c r="R6" s="24"/>
      <c r="S6" s="24">
        <v>64.52</v>
      </c>
      <c r="T6" s="24"/>
      <c r="U6" s="24"/>
      <c r="V6" s="24"/>
      <c r="W6" s="24"/>
      <c r="X6" s="24"/>
      <c r="Y6" s="24"/>
      <c r="Z6" s="24"/>
      <c r="AA6" s="24">
        <v>116</v>
      </c>
      <c r="AB6" s="24">
        <v>526</v>
      </c>
      <c r="AC6" s="24"/>
      <c r="AD6" s="24">
        <v>595</v>
      </c>
      <c r="AE6" s="24">
        <v>1318</v>
      </c>
      <c r="AF6" s="24"/>
      <c r="AG6" s="44">
        <f t="shared" si="0"/>
        <v>46183.040000000001</v>
      </c>
    </row>
    <row r="7" spans="1:33" x14ac:dyDescent="0.25">
      <c r="A7" s="36" t="s">
        <v>65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>
        <v>2845.3</v>
      </c>
      <c r="T7" s="24"/>
      <c r="U7" s="24"/>
      <c r="V7" s="24"/>
      <c r="W7" s="24">
        <v>204</v>
      </c>
      <c r="X7" s="24"/>
      <c r="Y7" s="24"/>
      <c r="Z7" s="24">
        <v>2043</v>
      </c>
      <c r="AA7" s="24"/>
      <c r="AB7" s="24"/>
      <c r="AC7" s="24"/>
      <c r="AD7" s="24"/>
      <c r="AE7" s="24">
        <v>87</v>
      </c>
      <c r="AF7" s="24"/>
      <c r="AG7" s="44">
        <f t="shared" si="0"/>
        <v>5179.3</v>
      </c>
    </row>
    <row r="8" spans="1:33" x14ac:dyDescent="0.25">
      <c r="A8" s="36" t="s">
        <v>66</v>
      </c>
      <c r="B8" s="24"/>
      <c r="C8" s="24"/>
      <c r="D8" s="24">
        <v>9528</v>
      </c>
      <c r="E8" s="24">
        <v>141</v>
      </c>
      <c r="F8" s="24">
        <v>97</v>
      </c>
      <c r="G8" s="24"/>
      <c r="H8" s="24">
        <v>691</v>
      </c>
      <c r="I8" s="24">
        <v>5182.1099999999997</v>
      </c>
      <c r="J8" s="24">
        <v>26</v>
      </c>
      <c r="K8" s="24">
        <v>380.29</v>
      </c>
      <c r="L8" s="24">
        <v>12</v>
      </c>
      <c r="M8" s="24"/>
      <c r="N8" s="24"/>
      <c r="O8" s="24">
        <v>1</v>
      </c>
      <c r="P8" s="24">
        <v>155</v>
      </c>
      <c r="Q8" s="24">
        <v>253</v>
      </c>
      <c r="R8" s="24">
        <v>36</v>
      </c>
      <c r="S8" s="24"/>
      <c r="T8" s="24">
        <v>1</v>
      </c>
      <c r="U8" s="24">
        <v>977</v>
      </c>
      <c r="V8" s="24"/>
      <c r="W8" s="24"/>
      <c r="X8" s="24">
        <v>261</v>
      </c>
      <c r="Y8" s="24">
        <v>1203</v>
      </c>
      <c r="Z8" s="24">
        <v>87</v>
      </c>
      <c r="AA8" s="24"/>
      <c r="AB8" s="24">
        <v>1034</v>
      </c>
      <c r="AC8" s="24"/>
      <c r="AD8" s="24">
        <v>34245</v>
      </c>
      <c r="AE8" s="24">
        <v>1794</v>
      </c>
      <c r="AF8" s="24"/>
      <c r="AG8" s="44">
        <f t="shared" si="0"/>
        <v>56104.4</v>
      </c>
    </row>
    <row r="9" spans="1:33" x14ac:dyDescent="0.25">
      <c r="A9" s="36" t="s">
        <v>67</v>
      </c>
      <c r="B9" s="24"/>
      <c r="C9" s="24"/>
      <c r="D9" s="24">
        <v>5422</v>
      </c>
      <c r="E9" s="24">
        <v>21994</v>
      </c>
      <c r="F9" s="24"/>
      <c r="G9" s="24">
        <v>4206</v>
      </c>
      <c r="H9" s="24">
        <v>8736</v>
      </c>
      <c r="I9" s="24">
        <v>2678.76</v>
      </c>
      <c r="J9" s="24"/>
      <c r="K9" s="24"/>
      <c r="L9" s="24">
        <v>13187</v>
      </c>
      <c r="M9" s="24">
        <v>3454</v>
      </c>
      <c r="N9" s="24">
        <v>295</v>
      </c>
      <c r="O9" s="24"/>
      <c r="P9" s="24"/>
      <c r="Q9" s="24"/>
      <c r="R9" s="24"/>
      <c r="S9" s="24">
        <v>7072.92</v>
      </c>
      <c r="T9" s="24"/>
      <c r="U9" s="24"/>
      <c r="V9" s="24"/>
      <c r="W9" s="24"/>
      <c r="X9" s="24"/>
      <c r="Y9" s="24">
        <v>10314</v>
      </c>
      <c r="Z9" s="24">
        <v>1391</v>
      </c>
      <c r="AA9" s="24">
        <v>615</v>
      </c>
      <c r="AB9" s="24">
        <v>7298</v>
      </c>
      <c r="AC9" s="24"/>
      <c r="AD9" s="24">
        <v>5690</v>
      </c>
      <c r="AE9" s="24">
        <v>3335</v>
      </c>
      <c r="AF9" s="24"/>
      <c r="AG9" s="44">
        <f t="shared" si="0"/>
        <v>95688.680000000008</v>
      </c>
    </row>
    <row r="10" spans="1:33" x14ac:dyDescent="0.25">
      <c r="A10" s="36" t="s">
        <v>68</v>
      </c>
      <c r="B10" s="24">
        <v>1</v>
      </c>
      <c r="C10" s="24">
        <v>107</v>
      </c>
      <c r="D10" s="24">
        <v>368</v>
      </c>
      <c r="E10" s="24">
        <v>829</v>
      </c>
      <c r="F10" s="24">
        <v>72</v>
      </c>
      <c r="G10" s="24">
        <v>55</v>
      </c>
      <c r="H10" s="24">
        <v>283</v>
      </c>
      <c r="I10" s="24">
        <v>527.37</v>
      </c>
      <c r="J10" s="24">
        <v>19</v>
      </c>
      <c r="K10" s="24">
        <v>128.74</v>
      </c>
      <c r="L10" s="24">
        <v>1512</v>
      </c>
      <c r="M10" s="24">
        <v>2827</v>
      </c>
      <c r="N10" s="24">
        <v>6431</v>
      </c>
      <c r="O10" s="24">
        <v>4</v>
      </c>
      <c r="P10" s="24">
        <v>6</v>
      </c>
      <c r="Q10" s="24">
        <v>58</v>
      </c>
      <c r="R10" s="24">
        <v>21.08</v>
      </c>
      <c r="S10" s="24">
        <v>951.25</v>
      </c>
      <c r="T10" s="24">
        <v>12</v>
      </c>
      <c r="U10" s="24">
        <v>196</v>
      </c>
      <c r="V10" s="24">
        <v>33</v>
      </c>
      <c r="W10" s="24">
        <v>221</v>
      </c>
      <c r="X10" s="24">
        <v>66</v>
      </c>
      <c r="Y10" s="24">
        <v>483</v>
      </c>
      <c r="Z10" s="24">
        <v>305</v>
      </c>
      <c r="AA10" s="24">
        <v>1335</v>
      </c>
      <c r="AB10" s="24">
        <v>143</v>
      </c>
      <c r="AC10" s="24"/>
      <c r="AD10" s="24">
        <v>678</v>
      </c>
      <c r="AE10" s="24">
        <v>390</v>
      </c>
      <c r="AF10" s="24">
        <v>44</v>
      </c>
      <c r="AG10" s="44">
        <f t="shared" si="0"/>
        <v>18106.440000000002</v>
      </c>
    </row>
    <row r="11" spans="1:33" x14ac:dyDescent="0.25">
      <c r="A11" s="36" t="s">
        <v>69</v>
      </c>
      <c r="B11" s="24">
        <v>377</v>
      </c>
      <c r="C11" s="24">
        <v>770</v>
      </c>
      <c r="D11" s="24">
        <v>1727</v>
      </c>
      <c r="E11" s="24">
        <v>2857</v>
      </c>
      <c r="F11" s="24">
        <v>2460</v>
      </c>
      <c r="G11" s="24">
        <v>1382</v>
      </c>
      <c r="H11" s="24">
        <v>1280</v>
      </c>
      <c r="I11" s="24">
        <v>411.3</v>
      </c>
      <c r="J11" s="24">
        <v>82</v>
      </c>
      <c r="K11" s="24">
        <v>1280.1400000000001</v>
      </c>
      <c r="L11" s="24">
        <v>4398</v>
      </c>
      <c r="M11" s="24">
        <v>2963</v>
      </c>
      <c r="N11" s="24">
        <v>2070</v>
      </c>
      <c r="O11" s="24">
        <v>750</v>
      </c>
      <c r="P11" s="24">
        <v>802</v>
      </c>
      <c r="Q11" s="24">
        <v>726</v>
      </c>
      <c r="R11" s="24">
        <v>519.29</v>
      </c>
      <c r="S11" s="24">
        <v>4256.12</v>
      </c>
      <c r="T11" s="24"/>
      <c r="U11" s="24">
        <f>544+86</f>
        <v>630</v>
      </c>
      <c r="V11" s="24">
        <v>86</v>
      </c>
      <c r="W11" s="24">
        <v>914</v>
      </c>
      <c r="X11" s="24">
        <f>592+244</f>
        <v>836</v>
      </c>
      <c r="Y11" s="24">
        <v>2027</v>
      </c>
      <c r="Z11" s="24">
        <v>292</v>
      </c>
      <c r="AA11" s="24">
        <v>2999</v>
      </c>
      <c r="AB11" s="24">
        <v>3650</v>
      </c>
      <c r="AC11" s="24"/>
      <c r="AD11" s="24">
        <v>2639</v>
      </c>
      <c r="AE11" s="24">
        <v>10967</v>
      </c>
      <c r="AF11" s="24">
        <v>1169</v>
      </c>
      <c r="AG11" s="44">
        <f t="shared" si="0"/>
        <v>55319.85</v>
      </c>
    </row>
    <row r="12" spans="1:33" x14ac:dyDescent="0.25">
      <c r="A12" s="36" t="s">
        <v>70</v>
      </c>
      <c r="B12" s="24"/>
      <c r="C12" s="24">
        <v>289</v>
      </c>
      <c r="D12" s="24">
        <v>178</v>
      </c>
      <c r="E12" s="24">
        <v>834</v>
      </c>
      <c r="F12" s="24"/>
      <c r="G12" s="24">
        <v>373</v>
      </c>
      <c r="H12" s="24"/>
      <c r="I12" s="24">
        <v>708.11</v>
      </c>
      <c r="J12" s="24"/>
      <c r="K12" s="24"/>
      <c r="L12" s="24">
        <v>1065</v>
      </c>
      <c r="M12" s="24">
        <v>514</v>
      </c>
      <c r="N12" s="24">
        <v>86</v>
      </c>
      <c r="O12" s="24">
        <v>77</v>
      </c>
      <c r="P12" s="24">
        <v>16</v>
      </c>
      <c r="Q12" s="24">
        <v>10</v>
      </c>
      <c r="R12" s="24"/>
      <c r="S12" s="24">
        <v>3798.48</v>
      </c>
      <c r="T12" s="24"/>
      <c r="U12" s="24"/>
      <c r="V12" s="24">
        <v>64</v>
      </c>
      <c r="W12" s="24">
        <v>33</v>
      </c>
      <c r="X12" s="24">
        <v>37</v>
      </c>
      <c r="Y12" s="24"/>
      <c r="Z12" s="24">
        <v>1</v>
      </c>
      <c r="AA12" s="24">
        <v>192</v>
      </c>
      <c r="AB12" s="24">
        <v>137</v>
      </c>
      <c r="AC12" s="24"/>
      <c r="AD12" s="24">
        <v>2550</v>
      </c>
      <c r="AE12" s="24">
        <v>2347</v>
      </c>
      <c r="AF12" s="24">
        <v>41</v>
      </c>
      <c r="AG12" s="44">
        <f t="shared" si="0"/>
        <v>13350.59</v>
      </c>
    </row>
    <row r="13" spans="1:33" x14ac:dyDescent="0.25">
      <c r="A13" s="36" t="s">
        <v>71</v>
      </c>
      <c r="B13" s="24">
        <v>3</v>
      </c>
      <c r="C13" s="24">
        <v>175</v>
      </c>
      <c r="D13" s="24">
        <v>41</v>
      </c>
      <c r="E13" s="24">
        <v>397</v>
      </c>
      <c r="F13" s="24">
        <v>328</v>
      </c>
      <c r="G13" s="24">
        <v>40</v>
      </c>
      <c r="H13" s="24">
        <v>547</v>
      </c>
      <c r="I13" s="24">
        <v>133.33000000000001</v>
      </c>
      <c r="J13" s="24">
        <v>7</v>
      </c>
      <c r="K13" s="24">
        <v>215.54</v>
      </c>
      <c r="L13" s="24">
        <v>723</v>
      </c>
      <c r="M13" s="24">
        <v>3874</v>
      </c>
      <c r="N13" s="24">
        <v>1611</v>
      </c>
      <c r="O13" s="24">
        <v>6</v>
      </c>
      <c r="P13" s="24">
        <v>80</v>
      </c>
      <c r="Q13" s="24">
        <v>34</v>
      </c>
      <c r="R13" s="24">
        <v>39.020000000000003</v>
      </c>
      <c r="S13" s="24">
        <v>139.08000000000001</v>
      </c>
      <c r="T13" s="24">
        <v>13</v>
      </c>
      <c r="U13" s="24">
        <v>586</v>
      </c>
      <c r="V13" s="24">
        <v>13</v>
      </c>
      <c r="W13" s="24">
        <v>487</v>
      </c>
      <c r="X13" s="24">
        <v>107</v>
      </c>
      <c r="Y13" s="24">
        <v>852</v>
      </c>
      <c r="Z13" s="24">
        <v>144</v>
      </c>
      <c r="AA13" s="24">
        <v>1014</v>
      </c>
      <c r="AB13" s="24">
        <v>206</v>
      </c>
      <c r="AC13" s="24"/>
      <c r="AD13" s="24">
        <v>103</v>
      </c>
      <c r="AE13" s="24">
        <v>163</v>
      </c>
      <c r="AF13" s="24">
        <v>55</v>
      </c>
      <c r="AG13" s="44">
        <f t="shared" si="0"/>
        <v>12135.97</v>
      </c>
    </row>
    <row r="14" spans="1:33" x14ac:dyDescent="0.25">
      <c r="A14" s="36" t="s">
        <v>72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>
        <v>32</v>
      </c>
      <c r="R14" s="24"/>
      <c r="S14" s="24">
        <v>783.12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44">
        <f t="shared" si="0"/>
        <v>815.12</v>
      </c>
    </row>
    <row r="15" spans="1:33" x14ac:dyDescent="0.25">
      <c r="A15" s="36" t="s">
        <v>73</v>
      </c>
      <c r="B15" s="24">
        <f>B16-B14-B13-B12-B11-B10-B9-B8-B7-B6-B5-B4</f>
        <v>0</v>
      </c>
      <c r="C15" s="24">
        <f t="shared" ref="C15:AB15" si="1">C16-C14-C13-C12-C11-C10-C9-C8-C7-C6-C5-C4</f>
        <v>972</v>
      </c>
      <c r="D15" s="24">
        <f t="shared" si="1"/>
        <v>46</v>
      </c>
      <c r="E15" s="24">
        <f t="shared" si="1"/>
        <v>-1</v>
      </c>
      <c r="F15" s="24">
        <f t="shared" si="1"/>
        <v>1</v>
      </c>
      <c r="G15" s="24">
        <f>G16-G14-G13-G12-G11-G10-G9-G8-G7-G6-G5-G4</f>
        <v>366</v>
      </c>
      <c r="H15" s="24">
        <f t="shared" si="1"/>
        <v>0</v>
      </c>
      <c r="I15" s="24">
        <f t="shared" si="1"/>
        <v>-2.7284841053187847E-12</v>
      </c>
      <c r="J15" s="24">
        <f t="shared" si="1"/>
        <v>0</v>
      </c>
      <c r="K15" s="24">
        <f t="shared" si="1"/>
        <v>-1.0000000000218279E-2</v>
      </c>
      <c r="L15" s="24">
        <f t="shared" si="1"/>
        <v>0</v>
      </c>
      <c r="M15" s="24">
        <f t="shared" si="1"/>
        <v>0</v>
      </c>
      <c r="N15" s="24">
        <f t="shared" si="1"/>
        <v>0</v>
      </c>
      <c r="O15" s="24">
        <f t="shared" si="1"/>
        <v>0</v>
      </c>
      <c r="P15" s="24">
        <f t="shared" si="1"/>
        <v>-2</v>
      </c>
      <c r="Q15" s="24">
        <f t="shared" si="1"/>
        <v>0</v>
      </c>
      <c r="R15" s="24">
        <f t="shared" si="1"/>
        <v>0</v>
      </c>
      <c r="S15" s="24">
        <f t="shared" si="1"/>
        <v>15.15000000000191</v>
      </c>
      <c r="T15" s="24">
        <f t="shared" si="1"/>
        <v>0</v>
      </c>
      <c r="U15" s="24">
        <f t="shared" si="1"/>
        <v>1</v>
      </c>
      <c r="V15" s="24">
        <f t="shared" si="1"/>
        <v>0</v>
      </c>
      <c r="W15" s="24">
        <f t="shared" si="1"/>
        <v>1</v>
      </c>
      <c r="X15" s="24">
        <f t="shared" si="1"/>
        <v>-1</v>
      </c>
      <c r="Y15" s="24">
        <f t="shared" si="1"/>
        <v>0</v>
      </c>
      <c r="Z15" s="24">
        <f t="shared" si="1"/>
        <v>0</v>
      </c>
      <c r="AA15" s="24">
        <f t="shared" si="1"/>
        <v>3</v>
      </c>
      <c r="AB15" s="24">
        <f t="shared" si="1"/>
        <v>0</v>
      </c>
      <c r="AC15" s="24">
        <f t="shared" ref="AC15:AF15" si="2">AC16-AC14-AC13-AC12-AC11-AC10-AC9-AC8-AC7-AC6-AC5-AC4</f>
        <v>0</v>
      </c>
      <c r="AD15" s="24">
        <f t="shared" si="2"/>
        <v>682</v>
      </c>
      <c r="AE15" s="24">
        <f t="shared" si="2"/>
        <v>903</v>
      </c>
      <c r="AF15" s="24">
        <f t="shared" si="2"/>
        <v>1</v>
      </c>
      <c r="AG15" s="44">
        <f t="shared" si="0"/>
        <v>2987.139999999999</v>
      </c>
    </row>
    <row r="16" spans="1:33" s="4" customFormat="1" x14ac:dyDescent="0.25">
      <c r="A16" s="38" t="s">
        <v>40</v>
      </c>
      <c r="B16" s="26">
        <v>385</v>
      </c>
      <c r="C16" s="26">
        <v>11698</v>
      </c>
      <c r="D16" s="26">
        <v>18677</v>
      </c>
      <c r="E16" s="26">
        <v>40537</v>
      </c>
      <c r="F16" s="26">
        <v>5183</v>
      </c>
      <c r="G16" s="26">
        <v>8998</v>
      </c>
      <c r="H16" s="26">
        <v>12347</v>
      </c>
      <c r="I16" s="26">
        <v>17256.75</v>
      </c>
      <c r="J16" s="26">
        <v>1101</v>
      </c>
      <c r="K16" s="26">
        <v>2858.49</v>
      </c>
      <c r="L16" s="26">
        <v>28002</v>
      </c>
      <c r="M16" s="26">
        <v>52415</v>
      </c>
      <c r="N16" s="26">
        <v>13381</v>
      </c>
      <c r="O16" s="26">
        <v>1371</v>
      </c>
      <c r="P16" s="26">
        <v>3434</v>
      </c>
      <c r="Q16" s="26">
        <v>2808</v>
      </c>
      <c r="R16" s="26">
        <v>1848.37</v>
      </c>
      <c r="S16" s="26">
        <v>22355.4</v>
      </c>
      <c r="T16" s="26">
        <v>26</v>
      </c>
      <c r="U16" s="26">
        <v>4626</v>
      </c>
      <c r="V16" s="26">
        <v>556</v>
      </c>
      <c r="W16" s="26">
        <v>8616</v>
      </c>
      <c r="X16" s="26">
        <v>2457</v>
      </c>
      <c r="Y16" s="26">
        <v>22743</v>
      </c>
      <c r="Z16" s="26">
        <v>4367</v>
      </c>
      <c r="AA16" s="26">
        <v>10728</v>
      </c>
      <c r="AB16" s="26">
        <v>30697</v>
      </c>
      <c r="AC16" s="26"/>
      <c r="AD16" s="26">
        <v>47291</v>
      </c>
      <c r="AE16" s="26">
        <v>25485</v>
      </c>
      <c r="AF16" s="26">
        <v>1662</v>
      </c>
      <c r="AG16" s="26">
        <f t="shared" si="0"/>
        <v>403910.01</v>
      </c>
    </row>
    <row r="17" spans="1:33" x14ac:dyDescent="0.25">
      <c r="A17" s="36" t="s">
        <v>74</v>
      </c>
      <c r="B17" s="24"/>
      <c r="C17" s="75">
        <v>104</v>
      </c>
      <c r="D17" s="24"/>
      <c r="E17" s="24">
        <v>2994</v>
      </c>
      <c r="F17" s="24">
        <v>395</v>
      </c>
      <c r="G17" s="24">
        <v>912</v>
      </c>
      <c r="H17" s="24">
        <v>2496</v>
      </c>
      <c r="I17" s="24">
        <v>18594.11</v>
      </c>
      <c r="J17" s="24">
        <v>1263</v>
      </c>
      <c r="K17" s="24">
        <v>2868.25</v>
      </c>
      <c r="L17" s="24">
        <v>1765</v>
      </c>
      <c r="M17" s="24">
        <v>1867</v>
      </c>
      <c r="N17" s="24">
        <v>4756</v>
      </c>
      <c r="O17" s="24">
        <v>68</v>
      </c>
      <c r="P17" s="24">
        <v>421</v>
      </c>
      <c r="Q17" s="24">
        <v>538</v>
      </c>
      <c r="R17" s="24">
        <v>388.49</v>
      </c>
      <c r="S17" s="24">
        <v>32057.919999999998</v>
      </c>
      <c r="T17" s="24"/>
      <c r="U17" s="24">
        <v>772</v>
      </c>
      <c r="V17" s="24">
        <v>217</v>
      </c>
      <c r="W17" s="24">
        <v>1155</v>
      </c>
      <c r="X17" s="24">
        <v>258</v>
      </c>
      <c r="Y17" s="24">
        <v>1457</v>
      </c>
      <c r="Z17" s="24"/>
      <c r="AA17" s="24">
        <v>628</v>
      </c>
      <c r="AB17" s="24">
        <v>1789</v>
      </c>
      <c r="AC17" s="24"/>
      <c r="AD17" s="24">
        <v>4059</v>
      </c>
      <c r="AE17" s="24">
        <v>17557</v>
      </c>
      <c r="AF17" s="24">
        <v>2238</v>
      </c>
      <c r="AG17" s="44">
        <f t="shared" si="0"/>
        <v>101617.76999999999</v>
      </c>
    </row>
    <row r="18" spans="1:33" ht="30" x14ac:dyDescent="0.25">
      <c r="A18" s="36" t="s">
        <v>75</v>
      </c>
      <c r="B18" s="24"/>
      <c r="C18" s="75">
        <v>694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44">
        <f t="shared" si="0"/>
        <v>694</v>
      </c>
    </row>
    <row r="19" spans="1:33" s="4" customFormat="1" x14ac:dyDescent="0.25">
      <c r="A19" s="38" t="s">
        <v>76</v>
      </c>
      <c r="B19" s="26">
        <f>B16+B17+B18</f>
        <v>385</v>
      </c>
      <c r="C19" s="76">
        <f t="shared" ref="C19:AB19" si="3">C16+C17+C18</f>
        <v>12496</v>
      </c>
      <c r="D19" s="26">
        <f t="shared" si="3"/>
        <v>18677</v>
      </c>
      <c r="E19" s="26">
        <f t="shared" si="3"/>
        <v>43531</v>
      </c>
      <c r="F19" s="26">
        <f t="shared" si="3"/>
        <v>5578</v>
      </c>
      <c r="G19" s="26">
        <f t="shared" si="3"/>
        <v>9910</v>
      </c>
      <c r="H19" s="26">
        <f t="shared" si="3"/>
        <v>14843</v>
      </c>
      <c r="I19" s="26">
        <f t="shared" si="3"/>
        <v>35850.86</v>
      </c>
      <c r="J19" s="26">
        <f t="shared" si="3"/>
        <v>2364</v>
      </c>
      <c r="K19" s="26">
        <f t="shared" si="3"/>
        <v>5726.74</v>
      </c>
      <c r="L19" s="26">
        <f t="shared" si="3"/>
        <v>29767</v>
      </c>
      <c r="M19" s="26">
        <f t="shared" si="3"/>
        <v>54282</v>
      </c>
      <c r="N19" s="26">
        <f t="shared" si="3"/>
        <v>18137</v>
      </c>
      <c r="O19" s="26">
        <f t="shared" si="3"/>
        <v>1439</v>
      </c>
      <c r="P19" s="26">
        <f t="shared" si="3"/>
        <v>3855</v>
      </c>
      <c r="Q19" s="26">
        <f t="shared" si="3"/>
        <v>3346</v>
      </c>
      <c r="R19" s="26">
        <f t="shared" si="3"/>
        <v>2236.8599999999997</v>
      </c>
      <c r="S19" s="26">
        <f t="shared" si="3"/>
        <v>54413.32</v>
      </c>
      <c r="T19" s="26">
        <f t="shared" si="3"/>
        <v>26</v>
      </c>
      <c r="U19" s="26">
        <f t="shared" si="3"/>
        <v>5398</v>
      </c>
      <c r="V19" s="26">
        <f t="shared" si="3"/>
        <v>773</v>
      </c>
      <c r="W19" s="26">
        <f t="shared" si="3"/>
        <v>9771</v>
      </c>
      <c r="X19" s="26">
        <f t="shared" si="3"/>
        <v>2715</v>
      </c>
      <c r="Y19" s="26">
        <f t="shared" si="3"/>
        <v>24200</v>
      </c>
      <c r="Z19" s="26">
        <f t="shared" si="3"/>
        <v>4367</v>
      </c>
      <c r="AA19" s="26">
        <f t="shared" si="3"/>
        <v>11356</v>
      </c>
      <c r="AB19" s="26">
        <f t="shared" si="3"/>
        <v>32486</v>
      </c>
      <c r="AC19" s="26">
        <f t="shared" ref="AC19:AF19" si="4">AC16+AC17+AC18</f>
        <v>0</v>
      </c>
      <c r="AD19" s="26">
        <f t="shared" si="4"/>
        <v>51350</v>
      </c>
      <c r="AE19" s="26">
        <f t="shared" si="4"/>
        <v>43042</v>
      </c>
      <c r="AF19" s="26">
        <f t="shared" si="4"/>
        <v>3900</v>
      </c>
      <c r="AG19" s="39">
        <f t="shared" si="0"/>
        <v>506221.77999999997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3" customWidth="1"/>
    <col min="2" max="32" width="16" style="3" customWidth="1"/>
    <col min="33" max="33" width="16" style="13" customWidth="1"/>
    <col min="34" max="16384" width="9.140625" style="3"/>
  </cols>
  <sheetData>
    <row r="1" spans="1:33" ht="18.75" x14ac:dyDescent="0.3">
      <c r="A1" s="5" t="s">
        <v>304</v>
      </c>
    </row>
    <row r="2" spans="1:33" x14ac:dyDescent="0.25">
      <c r="A2" s="2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  <c r="AG3" s="43" t="s">
        <v>20</v>
      </c>
    </row>
    <row r="4" spans="1:33" ht="15" customHeight="1" x14ac:dyDescent="0.25">
      <c r="A4" s="36" t="s">
        <v>77</v>
      </c>
      <c r="B4" s="24">
        <v>12</v>
      </c>
      <c r="C4" s="24">
        <v>81</v>
      </c>
      <c r="D4" s="24">
        <v>0.71</v>
      </c>
      <c r="E4" s="24">
        <v>3470</v>
      </c>
      <c r="F4" s="24">
        <v>396</v>
      </c>
      <c r="G4" s="24">
        <v>380</v>
      </c>
      <c r="H4" s="24">
        <v>2492</v>
      </c>
      <c r="I4" s="24">
        <v>2.61</v>
      </c>
      <c r="J4" s="24">
        <v>10</v>
      </c>
      <c r="K4" s="24">
        <v>495.01</v>
      </c>
      <c r="L4" s="24">
        <v>2294</v>
      </c>
      <c r="M4" s="24">
        <v>1314</v>
      </c>
      <c r="N4" s="24">
        <v>95</v>
      </c>
      <c r="O4" s="24">
        <v>528</v>
      </c>
      <c r="P4" s="24">
        <v>259</v>
      </c>
      <c r="Q4" s="24">
        <v>28</v>
      </c>
      <c r="R4" s="24">
        <v>111.86</v>
      </c>
      <c r="S4" s="24">
        <v>835.73</v>
      </c>
      <c r="T4" s="24">
        <v>23</v>
      </c>
      <c r="U4" s="24">
        <v>104</v>
      </c>
      <c r="V4" s="24">
        <v>5</v>
      </c>
      <c r="W4" s="24">
        <v>75</v>
      </c>
      <c r="X4" s="24">
        <v>330</v>
      </c>
      <c r="Y4" s="24">
        <v>532</v>
      </c>
      <c r="Z4" s="24">
        <v>238</v>
      </c>
      <c r="AA4" s="24">
        <v>4848</v>
      </c>
      <c r="AB4" s="24">
        <v>1312</v>
      </c>
      <c r="AC4" s="24">
        <v>220</v>
      </c>
      <c r="AD4" s="24">
        <v>360</v>
      </c>
      <c r="AE4" s="24">
        <v>2399</v>
      </c>
      <c r="AF4" s="24">
        <v>18</v>
      </c>
      <c r="AG4" s="44">
        <f t="shared" ref="AG4:AG16" si="0">SUM(B4:AF4)</f>
        <v>23268.92</v>
      </c>
    </row>
    <row r="5" spans="1:33" x14ac:dyDescent="0.25">
      <c r="A5" s="36" t="s">
        <v>78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44">
        <f t="shared" si="0"/>
        <v>0</v>
      </c>
    </row>
    <row r="6" spans="1:33" x14ac:dyDescent="0.25">
      <c r="A6" s="36" t="s">
        <v>79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44">
        <f t="shared" si="0"/>
        <v>0</v>
      </c>
    </row>
    <row r="7" spans="1:33" ht="15" customHeight="1" x14ac:dyDescent="0.25">
      <c r="A7" s="36" t="s">
        <v>80</v>
      </c>
      <c r="B7" s="24"/>
      <c r="C7" s="24">
        <v>7</v>
      </c>
      <c r="D7" s="24">
        <v>233061</v>
      </c>
      <c r="E7" s="24">
        <v>6625</v>
      </c>
      <c r="F7" s="24">
        <v>78</v>
      </c>
      <c r="G7" s="24"/>
      <c r="H7" s="24"/>
      <c r="I7" s="24">
        <v>141270</v>
      </c>
      <c r="J7" s="24"/>
      <c r="K7" s="24"/>
      <c r="L7" s="24">
        <v>558</v>
      </c>
      <c r="M7" s="24">
        <v>2110</v>
      </c>
      <c r="N7" s="24"/>
      <c r="O7" s="24"/>
      <c r="P7" s="24">
        <v>200</v>
      </c>
      <c r="Q7" s="24"/>
      <c r="R7" s="24">
        <v>860</v>
      </c>
      <c r="S7" s="24">
        <v>17563.990000000002</v>
      </c>
      <c r="T7" s="24">
        <v>10</v>
      </c>
      <c r="U7" s="24">
        <v>1420</v>
      </c>
      <c r="V7" s="24"/>
      <c r="W7" s="24">
        <v>386</v>
      </c>
      <c r="X7" s="24"/>
      <c r="Y7" s="24"/>
      <c r="Z7" s="24"/>
      <c r="AA7" s="24">
        <v>8950</v>
      </c>
      <c r="AB7" s="24">
        <v>11</v>
      </c>
      <c r="AC7" s="24">
        <v>68668</v>
      </c>
      <c r="AD7" s="24">
        <v>123166</v>
      </c>
      <c r="AE7" s="24">
        <v>101778</v>
      </c>
      <c r="AF7" s="24"/>
      <c r="AG7" s="44">
        <f t="shared" si="0"/>
        <v>706721.99</v>
      </c>
    </row>
    <row r="8" spans="1:33" x14ac:dyDescent="0.25">
      <c r="A8" s="36" t="s">
        <v>81</v>
      </c>
      <c r="B8" s="24"/>
      <c r="C8" s="24">
        <v>32</v>
      </c>
      <c r="D8" s="24"/>
      <c r="E8" s="24"/>
      <c r="F8" s="24">
        <v>48</v>
      </c>
      <c r="G8" s="24"/>
      <c r="H8" s="24"/>
      <c r="I8" s="24">
        <v>3000</v>
      </c>
      <c r="J8" s="24"/>
      <c r="K8" s="24">
        <v>28.37</v>
      </c>
      <c r="L8" s="24">
        <v>83</v>
      </c>
      <c r="M8" s="24"/>
      <c r="N8" s="24"/>
      <c r="O8" s="24"/>
      <c r="P8" s="24"/>
      <c r="Q8" s="24"/>
      <c r="R8" s="24">
        <v>25</v>
      </c>
      <c r="S8" s="24"/>
      <c r="T8" s="24"/>
      <c r="U8" s="24"/>
      <c r="V8" s="24">
        <v>5</v>
      </c>
      <c r="W8" s="24"/>
      <c r="X8" s="24"/>
      <c r="Y8" s="24">
        <v>30</v>
      </c>
      <c r="Z8" s="24"/>
      <c r="AA8" s="24"/>
      <c r="AB8" s="24">
        <v>238</v>
      </c>
      <c r="AC8" s="24">
        <v>667747</v>
      </c>
      <c r="AD8" s="24"/>
      <c r="AE8" s="24"/>
      <c r="AF8" s="24"/>
      <c r="AG8" s="44">
        <f t="shared" si="0"/>
        <v>671236.37</v>
      </c>
    </row>
    <row r="9" spans="1:33" x14ac:dyDescent="0.25">
      <c r="A9" s="36" t="s">
        <v>82</v>
      </c>
      <c r="B9" s="24">
        <v>1203</v>
      </c>
      <c r="C9" s="24">
        <v>4325</v>
      </c>
      <c r="D9" s="24">
        <v>11631</v>
      </c>
      <c r="E9" s="24">
        <v>14486</v>
      </c>
      <c r="F9" s="24">
        <v>5675</v>
      </c>
      <c r="G9" s="24">
        <v>2119</v>
      </c>
      <c r="H9" s="24">
        <v>11330</v>
      </c>
      <c r="I9" s="24">
        <v>952.05</v>
      </c>
      <c r="J9" s="24">
        <v>1426</v>
      </c>
      <c r="K9" s="24">
        <v>3639.93</v>
      </c>
      <c r="L9" s="24">
        <v>12434</v>
      </c>
      <c r="M9" s="24">
        <v>8760</v>
      </c>
      <c r="N9" s="24">
        <v>14875</v>
      </c>
      <c r="O9" s="24">
        <v>1161</v>
      </c>
      <c r="P9" s="24">
        <v>1905</v>
      </c>
      <c r="Q9" s="24">
        <v>2415</v>
      </c>
      <c r="R9" s="24">
        <v>3178.59</v>
      </c>
      <c r="S9" s="24">
        <v>153755.42000000001</v>
      </c>
      <c r="T9" s="24">
        <v>170</v>
      </c>
      <c r="U9" s="24">
        <v>2629</v>
      </c>
      <c r="V9" s="24">
        <v>583</v>
      </c>
      <c r="W9" s="24">
        <v>12429</v>
      </c>
      <c r="X9" s="24">
        <v>3727</v>
      </c>
      <c r="Y9" s="24">
        <v>10101</v>
      </c>
      <c r="Z9" s="24">
        <f>3687+1921</f>
        <v>5608</v>
      </c>
      <c r="AA9" s="24">
        <v>16232</v>
      </c>
      <c r="AB9" s="24">
        <v>28019</v>
      </c>
      <c r="AC9" s="24">
        <v>150501</v>
      </c>
      <c r="AD9" s="24">
        <v>167147</v>
      </c>
      <c r="AE9" s="24">
        <v>24532</v>
      </c>
      <c r="AF9" s="24">
        <v>6095</v>
      </c>
      <c r="AG9" s="44">
        <f t="shared" si="0"/>
        <v>683043.99</v>
      </c>
    </row>
    <row r="10" spans="1:33" x14ac:dyDescent="0.25">
      <c r="A10" s="36" t="s">
        <v>83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>
        <v>3212</v>
      </c>
      <c r="X10" s="24"/>
      <c r="Y10" s="24"/>
      <c r="Z10" s="24"/>
      <c r="AA10" s="24"/>
      <c r="AB10" s="24"/>
      <c r="AC10" s="24"/>
      <c r="AD10" s="24"/>
      <c r="AE10" s="24"/>
      <c r="AF10" s="24"/>
      <c r="AG10" s="44">
        <f t="shared" si="0"/>
        <v>3212</v>
      </c>
    </row>
    <row r="11" spans="1:33" x14ac:dyDescent="0.25">
      <c r="A11" s="36" t="s">
        <v>84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44">
        <f t="shared" si="0"/>
        <v>0</v>
      </c>
    </row>
    <row r="12" spans="1:33" x14ac:dyDescent="0.25">
      <c r="A12" s="36" t="s">
        <v>85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44">
        <f t="shared" si="0"/>
        <v>0</v>
      </c>
    </row>
    <row r="13" spans="1:33" x14ac:dyDescent="0.25">
      <c r="A13" s="36" t="s">
        <v>86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44">
        <f t="shared" si="0"/>
        <v>0</v>
      </c>
    </row>
    <row r="14" spans="1:33" x14ac:dyDescent="0.25">
      <c r="A14" s="36" t="s">
        <v>87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>
        <v>152838</v>
      </c>
      <c r="AD14" s="24"/>
      <c r="AE14" s="24"/>
      <c r="AF14" s="24"/>
      <c r="AG14" s="44">
        <f t="shared" si="0"/>
        <v>152838</v>
      </c>
    </row>
    <row r="15" spans="1:33" x14ac:dyDescent="0.25">
      <c r="A15" s="36" t="s">
        <v>31</v>
      </c>
      <c r="B15" s="24">
        <f>B16-B14-B13-B12-B11-B10-B9-B8-B7-B6-B5-B4</f>
        <v>192</v>
      </c>
      <c r="C15" s="24">
        <f t="shared" ref="C15:AB15" si="1">C16-C14-C13-C12-C11-C10-C9-C8-C7-C6-C5-C4</f>
        <v>9</v>
      </c>
      <c r="D15" s="24">
        <f t="shared" si="1"/>
        <v>0.29000000000000004</v>
      </c>
      <c r="E15" s="24">
        <f t="shared" si="1"/>
        <v>1</v>
      </c>
      <c r="F15" s="24">
        <f t="shared" si="1"/>
        <v>0</v>
      </c>
      <c r="G15" s="24">
        <f t="shared" si="1"/>
        <v>18</v>
      </c>
      <c r="H15" s="24">
        <f t="shared" si="1"/>
        <v>0</v>
      </c>
      <c r="I15" s="24">
        <f t="shared" si="1"/>
        <v>1.0000000000151341</v>
      </c>
      <c r="J15" s="24">
        <f t="shared" si="1"/>
        <v>0</v>
      </c>
      <c r="K15" s="24">
        <f>K16-K14-K13-K12-K11-K10-K9-K8-K7-K6-K5-K4</f>
        <v>5.6843418860808015E-13</v>
      </c>
      <c r="L15" s="24">
        <f t="shared" si="1"/>
        <v>0</v>
      </c>
      <c r="M15" s="24">
        <f t="shared" si="1"/>
        <v>0</v>
      </c>
      <c r="N15" s="24">
        <f t="shared" si="1"/>
        <v>0</v>
      </c>
      <c r="O15" s="24">
        <f t="shared" si="1"/>
        <v>0</v>
      </c>
      <c r="P15" s="24">
        <f t="shared" si="1"/>
        <v>0</v>
      </c>
      <c r="Q15" s="24">
        <f t="shared" si="1"/>
        <v>0</v>
      </c>
      <c r="R15" s="24">
        <f t="shared" si="1"/>
        <v>-3.2684965844964609E-13</v>
      </c>
      <c r="S15" s="24">
        <f t="shared" si="1"/>
        <v>0</v>
      </c>
      <c r="T15" s="24">
        <f t="shared" si="1"/>
        <v>0</v>
      </c>
      <c r="U15" s="24">
        <f t="shared" si="1"/>
        <v>0</v>
      </c>
      <c r="V15" s="24">
        <f t="shared" si="1"/>
        <v>-1</v>
      </c>
      <c r="W15" s="24">
        <f t="shared" si="1"/>
        <v>-1</v>
      </c>
      <c r="X15" s="24">
        <f t="shared" si="1"/>
        <v>1</v>
      </c>
      <c r="Y15" s="24">
        <f t="shared" si="1"/>
        <v>0</v>
      </c>
      <c r="Z15" s="24">
        <f t="shared" si="1"/>
        <v>-1</v>
      </c>
      <c r="AA15" s="24">
        <f t="shared" si="1"/>
        <v>-1</v>
      </c>
      <c r="AB15" s="24">
        <f t="shared" si="1"/>
        <v>0</v>
      </c>
      <c r="AC15" s="24">
        <f t="shared" ref="AC15:AF15" si="2">AC16-AC14-AC13-AC12-AC11-AC10-AC9-AC8-AC7-AC6-AC5-AC4</f>
        <v>0</v>
      </c>
      <c r="AD15" s="24">
        <f t="shared" si="2"/>
        <v>0</v>
      </c>
      <c r="AE15" s="24">
        <f t="shared" si="2"/>
        <v>0</v>
      </c>
      <c r="AF15" s="24">
        <f t="shared" si="2"/>
        <v>0</v>
      </c>
      <c r="AG15" s="44">
        <f t="shared" si="0"/>
        <v>218.29000000001537</v>
      </c>
    </row>
    <row r="16" spans="1:33" s="4" customFormat="1" x14ac:dyDescent="0.25">
      <c r="A16" s="38" t="s">
        <v>40</v>
      </c>
      <c r="B16" s="26">
        <v>1407</v>
      </c>
      <c r="C16" s="26">
        <v>4454</v>
      </c>
      <c r="D16" s="26">
        <v>244693</v>
      </c>
      <c r="E16" s="26">
        <v>24582</v>
      </c>
      <c r="F16" s="26">
        <v>6197</v>
      </c>
      <c r="G16" s="26">
        <v>2517</v>
      </c>
      <c r="H16" s="26">
        <v>13822</v>
      </c>
      <c r="I16" s="26">
        <v>145225.66</v>
      </c>
      <c r="J16" s="26">
        <v>1436</v>
      </c>
      <c r="K16" s="26">
        <v>4163.3100000000004</v>
      </c>
      <c r="L16" s="26">
        <v>15369</v>
      </c>
      <c r="M16" s="26">
        <v>12184</v>
      </c>
      <c r="N16" s="26">
        <v>14970</v>
      </c>
      <c r="O16" s="26">
        <v>1689</v>
      </c>
      <c r="P16" s="26">
        <v>2364</v>
      </c>
      <c r="Q16" s="26">
        <v>2443</v>
      </c>
      <c r="R16" s="26">
        <v>4175.45</v>
      </c>
      <c r="S16" s="26">
        <v>172155.14</v>
      </c>
      <c r="T16" s="26">
        <v>203</v>
      </c>
      <c r="U16" s="26">
        <v>4153</v>
      </c>
      <c r="V16" s="26">
        <v>592</v>
      </c>
      <c r="W16" s="26">
        <v>16101</v>
      </c>
      <c r="X16" s="26">
        <v>4058</v>
      </c>
      <c r="Y16" s="26">
        <v>10663</v>
      </c>
      <c r="Z16" s="26">
        <v>5845</v>
      </c>
      <c r="AA16" s="26">
        <v>30029</v>
      </c>
      <c r="AB16" s="26">
        <v>29580</v>
      </c>
      <c r="AC16" s="26">
        <v>1039974</v>
      </c>
      <c r="AD16" s="26">
        <v>290673</v>
      </c>
      <c r="AE16" s="26">
        <v>128709</v>
      </c>
      <c r="AF16" s="26">
        <v>6113</v>
      </c>
      <c r="AG16" s="26">
        <f t="shared" si="0"/>
        <v>2240539.56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3" customWidth="1"/>
    <col min="2" max="5" width="16" style="3" customWidth="1"/>
    <col min="6" max="6" width="18.140625" style="3" customWidth="1"/>
    <col min="7" max="32" width="16" style="3" customWidth="1"/>
    <col min="33" max="33" width="16" style="4" customWidth="1"/>
    <col min="34" max="16384" width="9.140625" style="3"/>
  </cols>
  <sheetData>
    <row r="1" spans="1:33" ht="18.75" x14ac:dyDescent="0.3">
      <c r="A1" s="5" t="s">
        <v>303</v>
      </c>
    </row>
    <row r="2" spans="1:33" x14ac:dyDescent="0.25">
      <c r="A2" s="2" t="s">
        <v>98</v>
      </c>
    </row>
    <row r="3" spans="1:33" s="18" customFormat="1" ht="15" customHeight="1" x14ac:dyDescent="0.25">
      <c r="A3" s="77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  <c r="AG3" s="78" t="s">
        <v>20</v>
      </c>
    </row>
    <row r="4" spans="1:33" s="18" customFormat="1" ht="15" customHeight="1" x14ac:dyDescent="0.25">
      <c r="A4" s="79" t="s">
        <v>88</v>
      </c>
      <c r="B4" s="29">
        <v>726</v>
      </c>
      <c r="C4" s="29">
        <v>3377</v>
      </c>
      <c r="D4" s="29"/>
      <c r="E4" s="24">
        <v>15825</v>
      </c>
      <c r="F4" s="24">
        <v>7399</v>
      </c>
      <c r="G4" s="24">
        <v>4828</v>
      </c>
      <c r="H4" s="24">
        <v>6133</v>
      </c>
      <c r="I4" s="29"/>
      <c r="J4" s="29">
        <v>199</v>
      </c>
      <c r="K4" s="24">
        <v>1696.77</v>
      </c>
      <c r="L4" s="24">
        <v>5071</v>
      </c>
      <c r="M4" s="24">
        <v>3289</v>
      </c>
      <c r="N4" s="24">
        <v>7899</v>
      </c>
      <c r="O4" s="24">
        <v>451</v>
      </c>
      <c r="P4" s="24">
        <v>3030</v>
      </c>
      <c r="Q4" s="29">
        <v>221</v>
      </c>
      <c r="R4" s="24">
        <v>730.88</v>
      </c>
      <c r="S4" s="29">
        <v>12104.8</v>
      </c>
      <c r="T4" s="29">
        <v>664</v>
      </c>
      <c r="U4" s="24">
        <v>3145</v>
      </c>
      <c r="V4" s="24">
        <v>596</v>
      </c>
      <c r="W4" s="24">
        <v>3026</v>
      </c>
      <c r="X4" s="24">
        <v>2855</v>
      </c>
      <c r="Y4" s="29">
        <v>8850</v>
      </c>
      <c r="Z4" s="29">
        <v>1487</v>
      </c>
      <c r="AA4" s="24">
        <v>4862</v>
      </c>
      <c r="AB4" s="24">
        <v>10512</v>
      </c>
      <c r="AC4" s="24">
        <v>16763</v>
      </c>
      <c r="AD4" s="24">
        <v>11085</v>
      </c>
      <c r="AE4" s="24">
        <v>10161</v>
      </c>
      <c r="AF4" s="24">
        <v>2748</v>
      </c>
      <c r="AG4" s="80">
        <f t="shared" ref="AG4:AG17" si="0">SUM(B4:AF4)</f>
        <v>149734.45000000001</v>
      </c>
    </row>
    <row r="5" spans="1:33" s="18" customFormat="1" ht="15" customHeight="1" x14ac:dyDescent="0.25">
      <c r="A5" s="79" t="s">
        <v>89</v>
      </c>
      <c r="B5" s="29">
        <v>9889</v>
      </c>
      <c r="C5" s="29">
        <v>6427</v>
      </c>
      <c r="D5" s="24">
        <v>752470</v>
      </c>
      <c r="E5" s="24">
        <v>179731</v>
      </c>
      <c r="F5" s="24">
        <v>1522</v>
      </c>
      <c r="G5" s="24">
        <v>32625</v>
      </c>
      <c r="H5" s="24">
        <v>49974</v>
      </c>
      <c r="I5" s="24">
        <v>7915.4</v>
      </c>
      <c r="J5" s="29">
        <v>14082</v>
      </c>
      <c r="K5" s="24">
        <v>33945.58</v>
      </c>
      <c r="L5" s="24">
        <v>372828</v>
      </c>
      <c r="M5" s="24">
        <v>217162</v>
      </c>
      <c r="N5" s="24">
        <v>101675</v>
      </c>
      <c r="O5" s="24">
        <v>2849</v>
      </c>
      <c r="P5" s="24">
        <v>3949</v>
      </c>
      <c r="Q5" s="29">
        <v>6736</v>
      </c>
      <c r="R5" s="24">
        <v>622.85</v>
      </c>
      <c r="S5" s="29">
        <v>231977.58</v>
      </c>
      <c r="T5" s="29">
        <v>4</v>
      </c>
      <c r="U5" s="24">
        <v>32945</v>
      </c>
      <c r="V5" s="24">
        <v>1295</v>
      </c>
      <c r="W5" s="24">
        <v>158198</v>
      </c>
      <c r="X5" s="24">
        <v>41023</v>
      </c>
      <c r="Y5" s="29">
        <v>161891</v>
      </c>
      <c r="Z5" s="29">
        <v>2436</v>
      </c>
      <c r="AA5" s="24">
        <v>2613</v>
      </c>
      <c r="AB5" s="24">
        <v>174233</v>
      </c>
      <c r="AC5" s="24">
        <v>132372</v>
      </c>
      <c r="AD5" s="24">
        <v>78299</v>
      </c>
      <c r="AE5" s="24">
        <v>134267</v>
      </c>
      <c r="AF5" s="24">
        <v>77279</v>
      </c>
      <c r="AG5" s="80">
        <f t="shared" si="0"/>
        <v>3023235.41</v>
      </c>
    </row>
    <row r="6" spans="1:33" s="18" customFormat="1" ht="15" customHeight="1" x14ac:dyDescent="0.25">
      <c r="A6" s="79" t="s">
        <v>90</v>
      </c>
      <c r="B6" s="29"/>
      <c r="C6" s="29"/>
      <c r="D6" s="29"/>
      <c r="E6" s="24">
        <v>17556</v>
      </c>
      <c r="F6" s="29"/>
      <c r="G6" s="24">
        <v>22949</v>
      </c>
      <c r="H6" s="29"/>
      <c r="I6" s="29"/>
      <c r="J6" s="29"/>
      <c r="K6" s="29"/>
      <c r="L6" s="29"/>
      <c r="M6" s="24">
        <v>4278</v>
      </c>
      <c r="N6" s="24">
        <v>3381</v>
      </c>
      <c r="O6" s="24">
        <v>4005</v>
      </c>
      <c r="P6" s="29"/>
      <c r="Q6" s="29">
        <v>10836</v>
      </c>
      <c r="R6" s="29"/>
      <c r="S6" s="29">
        <v>112737.13</v>
      </c>
      <c r="T6" s="29"/>
      <c r="U6" s="29"/>
      <c r="V6" s="29"/>
      <c r="W6" s="29"/>
      <c r="X6" s="29"/>
      <c r="Y6" s="29"/>
      <c r="Z6" s="29">
        <v>268</v>
      </c>
      <c r="AA6" s="29"/>
      <c r="AB6" s="29"/>
      <c r="AC6" s="24">
        <v>9498</v>
      </c>
      <c r="AD6" s="24">
        <v>9753</v>
      </c>
      <c r="AE6" s="29"/>
      <c r="AF6" s="29"/>
      <c r="AG6" s="80">
        <f t="shared" si="0"/>
        <v>195261.13</v>
      </c>
    </row>
    <row r="7" spans="1:33" s="18" customFormat="1" ht="15" customHeight="1" x14ac:dyDescent="0.25">
      <c r="A7" s="79" t="s">
        <v>91</v>
      </c>
      <c r="B7" s="29"/>
      <c r="C7" s="29"/>
      <c r="D7" s="29"/>
      <c r="E7" s="24">
        <v>123762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4">
        <v>90453</v>
      </c>
      <c r="AD7" s="24">
        <v>44297</v>
      </c>
      <c r="AE7" s="29"/>
      <c r="AF7" s="24">
        <v>39269</v>
      </c>
      <c r="AG7" s="80">
        <f t="shared" si="0"/>
        <v>297781</v>
      </c>
    </row>
    <row r="8" spans="1:33" s="18" customFormat="1" ht="15" customHeight="1" x14ac:dyDescent="0.25">
      <c r="A8" s="24" t="s">
        <v>311</v>
      </c>
      <c r="B8" s="29">
        <v>3411</v>
      </c>
      <c r="C8" s="29">
        <v>283</v>
      </c>
      <c r="D8" s="29"/>
      <c r="E8" s="29"/>
      <c r="F8" s="24">
        <v>2272</v>
      </c>
      <c r="G8" s="24">
        <v>130273</v>
      </c>
      <c r="H8" s="24">
        <v>99693</v>
      </c>
      <c r="I8" s="24">
        <v>4105.3599999999997</v>
      </c>
      <c r="J8" s="29">
        <v>2843</v>
      </c>
      <c r="K8" s="24">
        <v>13651.19</v>
      </c>
      <c r="L8" s="24">
        <v>91464</v>
      </c>
      <c r="M8" s="24">
        <v>316476</v>
      </c>
      <c r="N8" s="24">
        <v>78590</v>
      </c>
      <c r="O8" s="24">
        <v>6620</v>
      </c>
      <c r="P8" s="24">
        <v>41017</v>
      </c>
      <c r="Q8" s="29">
        <v>57932</v>
      </c>
      <c r="R8" s="29"/>
      <c r="S8" s="29">
        <v>83317.460000000006</v>
      </c>
      <c r="T8" s="29">
        <v>579</v>
      </c>
      <c r="U8" s="24">
        <v>1098</v>
      </c>
      <c r="V8" s="24">
        <v>5580</v>
      </c>
      <c r="W8" s="24">
        <v>74436</v>
      </c>
      <c r="X8" s="24">
        <v>16022</v>
      </c>
      <c r="Y8" s="29">
        <v>53583</v>
      </c>
      <c r="Z8" s="29">
        <v>23785</v>
      </c>
      <c r="AA8" s="29"/>
      <c r="AB8" s="24">
        <v>160052</v>
      </c>
      <c r="AC8" s="29"/>
      <c r="AD8" s="29"/>
      <c r="AE8" s="24">
        <v>34574</v>
      </c>
      <c r="AF8" s="29"/>
      <c r="AG8" s="80"/>
    </row>
    <row r="9" spans="1:33" s="18" customFormat="1" ht="15" customHeight="1" x14ac:dyDescent="0.25">
      <c r="A9" s="24" t="s">
        <v>312</v>
      </c>
      <c r="B9" s="29">
        <v>1176</v>
      </c>
      <c r="C9" s="29">
        <v>2185</v>
      </c>
      <c r="D9" s="29"/>
      <c r="E9" s="29"/>
      <c r="F9" s="24">
        <v>14144</v>
      </c>
      <c r="G9" s="24">
        <v>2949</v>
      </c>
      <c r="H9" s="24">
        <v>3859</v>
      </c>
      <c r="I9" s="24">
        <v>22743.64</v>
      </c>
      <c r="J9" s="29">
        <v>201</v>
      </c>
      <c r="K9" s="24">
        <v>3131.5</v>
      </c>
      <c r="L9" s="24">
        <v>7734</v>
      </c>
      <c r="M9" s="24">
        <v>31797</v>
      </c>
      <c r="N9" s="24">
        <v>10162</v>
      </c>
      <c r="O9" s="24">
        <v>780</v>
      </c>
      <c r="P9" s="24">
        <v>248</v>
      </c>
      <c r="Q9" s="29">
        <v>1201</v>
      </c>
      <c r="R9" s="24">
        <v>811.89</v>
      </c>
      <c r="S9" s="29">
        <v>-682.05</v>
      </c>
      <c r="T9" s="29">
        <v>589</v>
      </c>
      <c r="U9" s="24">
        <v>2215</v>
      </c>
      <c r="V9" s="29">
        <v>232</v>
      </c>
      <c r="W9" s="29">
        <v>12477</v>
      </c>
      <c r="X9" s="29">
        <v>3524</v>
      </c>
      <c r="Y9" s="29">
        <v>1519</v>
      </c>
      <c r="Z9" s="29">
        <v>4756</v>
      </c>
      <c r="AA9" s="24">
        <v>8814</v>
      </c>
      <c r="AB9" s="24">
        <v>10280</v>
      </c>
      <c r="AC9" s="29"/>
      <c r="AD9" s="29"/>
      <c r="AE9" s="29"/>
      <c r="AF9" s="29"/>
      <c r="AG9" s="80"/>
    </row>
    <row r="10" spans="1:33" s="18" customFormat="1" ht="15" customHeight="1" x14ac:dyDescent="0.25">
      <c r="A10" s="79" t="s">
        <v>92</v>
      </c>
      <c r="B10" s="29"/>
      <c r="C10" s="29">
        <v>12448</v>
      </c>
      <c r="D10" s="29"/>
      <c r="E10" s="24">
        <v>30451</v>
      </c>
      <c r="F10" s="24">
        <v>5370</v>
      </c>
      <c r="G10" s="24">
        <v>4237</v>
      </c>
      <c r="H10" s="24">
        <v>19947</v>
      </c>
      <c r="I10" s="24">
        <v>6421.95</v>
      </c>
      <c r="J10" s="29">
        <v>1805</v>
      </c>
      <c r="K10" s="24">
        <v>16647.43</v>
      </c>
      <c r="L10" s="24">
        <v>34141</v>
      </c>
      <c r="M10" s="24">
        <v>69544</v>
      </c>
      <c r="N10" s="24">
        <v>1566</v>
      </c>
      <c r="O10" s="24">
        <v>2266</v>
      </c>
      <c r="P10" s="24">
        <v>3418</v>
      </c>
      <c r="Q10" s="29">
        <v>260</v>
      </c>
      <c r="R10" s="24">
        <v>7392.74</v>
      </c>
      <c r="S10" s="29">
        <v>105930.03</v>
      </c>
      <c r="T10" s="29">
        <v>93</v>
      </c>
      <c r="U10" s="24">
        <v>1846</v>
      </c>
      <c r="V10" s="29">
        <v>265</v>
      </c>
      <c r="W10" s="29">
        <v>25605</v>
      </c>
      <c r="X10" s="29">
        <v>665</v>
      </c>
      <c r="Y10" s="29">
        <v>17998</v>
      </c>
      <c r="Z10" s="29">
        <v>1457</v>
      </c>
      <c r="AA10" s="24">
        <v>6502</v>
      </c>
      <c r="AB10" s="24">
        <v>27132</v>
      </c>
      <c r="AC10" s="24">
        <v>137899</v>
      </c>
      <c r="AD10" s="29"/>
      <c r="AE10" s="29"/>
      <c r="AF10" s="24">
        <v>350</v>
      </c>
      <c r="AG10" s="80">
        <f t="shared" si="0"/>
        <v>541657.15</v>
      </c>
    </row>
    <row r="11" spans="1:33" s="18" customFormat="1" ht="15" customHeight="1" x14ac:dyDescent="0.25">
      <c r="A11" s="79" t="s">
        <v>93</v>
      </c>
      <c r="B11" s="29">
        <v>8087</v>
      </c>
      <c r="C11" s="29">
        <v>18985</v>
      </c>
      <c r="D11" s="24">
        <v>60272</v>
      </c>
      <c r="E11" s="24">
        <v>51949</v>
      </c>
      <c r="F11" s="24">
        <v>19446</v>
      </c>
      <c r="G11" s="24">
        <v>1171</v>
      </c>
      <c r="H11" s="24">
        <v>22762</v>
      </c>
      <c r="I11" s="24">
        <v>9363.2900000000009</v>
      </c>
      <c r="J11" s="29">
        <v>1477</v>
      </c>
      <c r="K11" s="24">
        <v>22314.07</v>
      </c>
      <c r="L11" s="24">
        <v>77622</v>
      </c>
      <c r="M11" s="24">
        <v>125260</v>
      </c>
      <c r="N11" s="24">
        <v>12952</v>
      </c>
      <c r="O11" s="29">
        <v>24</v>
      </c>
      <c r="P11" s="24">
        <v>10129</v>
      </c>
      <c r="Q11" s="29">
        <v>12879</v>
      </c>
      <c r="R11" s="24">
        <v>710.73</v>
      </c>
      <c r="S11" s="29">
        <v>310459.49</v>
      </c>
      <c r="T11" s="29">
        <v>37536</v>
      </c>
      <c r="U11" s="24">
        <v>21515</v>
      </c>
      <c r="V11" s="29">
        <v>1215</v>
      </c>
      <c r="W11" s="29">
        <v>75619</v>
      </c>
      <c r="X11" s="29">
        <v>18306</v>
      </c>
      <c r="Y11" s="29">
        <v>6652</v>
      </c>
      <c r="Z11" s="29">
        <v>6737</v>
      </c>
      <c r="AA11" s="24">
        <v>27951</v>
      </c>
      <c r="AB11" s="24">
        <v>40417</v>
      </c>
      <c r="AC11" s="24">
        <v>389995</v>
      </c>
      <c r="AD11" s="24">
        <v>293688</v>
      </c>
      <c r="AE11" s="29">
        <v>210226</v>
      </c>
      <c r="AF11" s="24">
        <v>9029</v>
      </c>
      <c r="AG11" s="80">
        <f t="shared" si="0"/>
        <v>1904748.58</v>
      </c>
    </row>
    <row r="12" spans="1:33" s="18" customFormat="1" ht="15" customHeight="1" x14ac:dyDescent="0.25">
      <c r="A12" s="79" t="s">
        <v>94</v>
      </c>
      <c r="B12" s="29">
        <v>7</v>
      </c>
      <c r="C12" s="29">
        <v>557</v>
      </c>
      <c r="D12" s="29"/>
      <c r="E12" s="29"/>
      <c r="F12" s="29"/>
      <c r="G12" s="29"/>
      <c r="H12" s="29"/>
      <c r="I12" s="29"/>
      <c r="J12" s="29">
        <v>52</v>
      </c>
      <c r="K12" s="29"/>
      <c r="L12" s="29"/>
      <c r="M12" s="29"/>
      <c r="N12" s="24">
        <v>12</v>
      </c>
      <c r="O12" s="29">
        <v>648</v>
      </c>
      <c r="P12" s="29"/>
      <c r="Q12" s="29"/>
      <c r="R12" s="29"/>
      <c r="S12" s="29"/>
      <c r="T12" s="29"/>
      <c r="U12" s="29"/>
      <c r="V12" s="29"/>
      <c r="W12" s="29"/>
      <c r="X12" s="29"/>
      <c r="Y12" s="24">
        <v>2075</v>
      </c>
      <c r="Z12" s="29"/>
      <c r="AA12" s="29"/>
      <c r="AB12" s="29"/>
      <c r="AC12" s="29"/>
      <c r="AD12" s="29"/>
      <c r="AE12" s="29"/>
      <c r="AF12" s="29"/>
      <c r="AG12" s="80">
        <f t="shared" si="0"/>
        <v>3351</v>
      </c>
    </row>
    <row r="13" spans="1:33" s="18" customFormat="1" ht="15" customHeight="1" x14ac:dyDescent="0.25">
      <c r="A13" s="79" t="s">
        <v>95</v>
      </c>
      <c r="B13" s="29">
        <v>35096</v>
      </c>
      <c r="C13" s="29">
        <v>20184</v>
      </c>
      <c r="D13" s="24">
        <v>1056875</v>
      </c>
      <c r="E13" s="24">
        <v>1181345</v>
      </c>
      <c r="F13" s="24">
        <v>70180</v>
      </c>
      <c r="G13" s="24">
        <v>751359</v>
      </c>
      <c r="H13" s="24">
        <v>496484</v>
      </c>
      <c r="I13" s="24">
        <v>654055.1</v>
      </c>
      <c r="J13" s="29">
        <v>27274</v>
      </c>
      <c r="K13" s="24">
        <v>288229.84000000003</v>
      </c>
      <c r="L13" s="24">
        <v>804314</v>
      </c>
      <c r="M13" s="24">
        <v>2695306</v>
      </c>
      <c r="N13" s="24">
        <v>794863</v>
      </c>
      <c r="O13" s="29">
        <v>55033</v>
      </c>
      <c r="P13" s="24">
        <v>146196</v>
      </c>
      <c r="Q13" s="29">
        <v>224703</v>
      </c>
      <c r="R13" s="24">
        <v>11582.52</v>
      </c>
      <c r="S13" s="29">
        <v>2042693.46</v>
      </c>
      <c r="T13" s="29">
        <v>14388</v>
      </c>
      <c r="U13" s="29">
        <v>30806</v>
      </c>
      <c r="V13" s="29">
        <v>42885</v>
      </c>
      <c r="W13" s="24">
        <v>995378</v>
      </c>
      <c r="X13" s="24">
        <v>467522</v>
      </c>
      <c r="Y13" s="24">
        <v>469231</v>
      </c>
      <c r="Z13" s="29">
        <v>768894</v>
      </c>
      <c r="AA13" s="24">
        <v>91295</v>
      </c>
      <c r="AB13" s="24">
        <v>984791</v>
      </c>
      <c r="AC13" s="24">
        <v>3272487</v>
      </c>
      <c r="AD13" s="24">
        <v>1833941</v>
      </c>
      <c r="AE13" s="29">
        <v>2532920</v>
      </c>
      <c r="AF13" s="24">
        <v>165823</v>
      </c>
      <c r="AG13" s="80">
        <f t="shared" si="0"/>
        <v>23026133.919999998</v>
      </c>
    </row>
    <row r="14" spans="1:33" s="18" customFormat="1" ht="15" customHeight="1" x14ac:dyDescent="0.25">
      <c r="A14" s="79" t="s">
        <v>96</v>
      </c>
      <c r="B14" s="29"/>
      <c r="C14" s="29"/>
      <c r="D14" s="29"/>
      <c r="E14" s="29"/>
      <c r="F14" s="29"/>
      <c r="G14" s="29"/>
      <c r="H14" s="29"/>
      <c r="I14" s="24">
        <v>749.21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>
        <v>3</v>
      </c>
      <c r="AC14" s="29"/>
      <c r="AD14" s="29"/>
      <c r="AE14" s="29"/>
      <c r="AF14" s="29"/>
      <c r="AG14" s="80">
        <f t="shared" si="0"/>
        <v>752.21</v>
      </c>
    </row>
    <row r="15" spans="1:33" s="18" customFormat="1" ht="15" customHeight="1" x14ac:dyDescent="0.25">
      <c r="A15" s="79" t="s">
        <v>97</v>
      </c>
      <c r="B15" s="29"/>
      <c r="C15" s="29">
        <f>208+6</f>
        <v>214</v>
      </c>
      <c r="D15" s="24">
        <v>7423</v>
      </c>
      <c r="E15" s="24">
        <v>297</v>
      </c>
      <c r="F15" s="29">
        <f>427+38</f>
        <v>465</v>
      </c>
      <c r="G15" s="24">
        <f>126+311</f>
        <v>437</v>
      </c>
      <c r="H15" s="29"/>
      <c r="I15" s="24">
        <v>134.66999999999999</v>
      </c>
      <c r="J15" s="29">
        <v>27</v>
      </c>
      <c r="K15" s="24">
        <f>327.8+2682.8</f>
        <v>3010.6000000000004</v>
      </c>
      <c r="L15" s="29">
        <f>3320+484</f>
        <v>3804</v>
      </c>
      <c r="M15" s="29">
        <f>44952+7117</f>
        <v>52069</v>
      </c>
      <c r="N15" s="29">
        <f>1711+461</f>
        <v>2172</v>
      </c>
      <c r="O15" s="29">
        <v>19</v>
      </c>
      <c r="P15" s="29">
        <v>1187</v>
      </c>
      <c r="Q15" s="29">
        <f>291+22</f>
        <v>313</v>
      </c>
      <c r="R15" s="24">
        <f>21.21+170.86</f>
        <v>192.07000000000002</v>
      </c>
      <c r="S15" s="29">
        <f>10276.96+3141.61</f>
        <v>13418.57</v>
      </c>
      <c r="T15" s="29">
        <v>6</v>
      </c>
      <c r="U15" s="29">
        <f>123+55</f>
        <v>178</v>
      </c>
      <c r="V15" s="29">
        <v>4.8</v>
      </c>
      <c r="W15" s="29">
        <f>7470+630</f>
        <v>8100</v>
      </c>
      <c r="X15" s="29">
        <f>637+149</f>
        <v>786</v>
      </c>
      <c r="Y15" s="29">
        <f>933+85</f>
        <v>1018</v>
      </c>
      <c r="Z15" s="29">
        <f>1819+74</f>
        <v>1893</v>
      </c>
      <c r="AA15" s="24">
        <v>2319</v>
      </c>
      <c r="AB15" s="29">
        <f>3098+804</f>
        <v>3902</v>
      </c>
      <c r="AC15" s="29">
        <f>17893+4756</f>
        <v>22649</v>
      </c>
      <c r="AD15" s="29">
        <f>9265+1236</f>
        <v>10501</v>
      </c>
      <c r="AE15" s="29">
        <f>5886+2344</f>
        <v>8230</v>
      </c>
      <c r="AF15" s="29">
        <f>720+185</f>
        <v>905</v>
      </c>
      <c r="AG15" s="80">
        <f t="shared" si="0"/>
        <v>145674.71000000002</v>
      </c>
    </row>
    <row r="16" spans="1:33" s="18" customFormat="1" ht="15" customHeight="1" x14ac:dyDescent="0.25">
      <c r="A16" s="79" t="s">
        <v>31</v>
      </c>
      <c r="B16" s="29">
        <f>B17-B15-B14-B8-B9-B13-B12-B11-B10-B7-B6-B5-B4</f>
        <v>11957</v>
      </c>
      <c r="C16" s="29">
        <f t="shared" ref="C16:AF16" si="1">C17-C15-C14-C8-C9-C13-C12-C11-C10-C7-C6-C5-C4</f>
        <v>7892</v>
      </c>
      <c r="D16" s="29">
        <f t="shared" si="1"/>
        <v>431355</v>
      </c>
      <c r="E16" s="29">
        <f t="shared" si="1"/>
        <v>33682</v>
      </c>
      <c r="F16" s="29">
        <f t="shared" si="1"/>
        <v>10149</v>
      </c>
      <c r="G16" s="29">
        <f t="shared" si="1"/>
        <v>32565</v>
      </c>
      <c r="H16" s="29">
        <f t="shared" si="1"/>
        <v>26548</v>
      </c>
      <c r="I16" s="29">
        <f t="shared" si="1"/>
        <v>2119.7800000000407</v>
      </c>
      <c r="J16" s="29">
        <f t="shared" si="1"/>
        <v>301</v>
      </c>
      <c r="K16" s="29">
        <f t="shared" si="1"/>
        <v>2376.0599999999727</v>
      </c>
      <c r="L16" s="29">
        <f t="shared" si="1"/>
        <v>5823</v>
      </c>
      <c r="M16" s="29">
        <f t="shared" si="1"/>
        <v>30028</v>
      </c>
      <c r="N16" s="29">
        <f t="shared" si="1"/>
        <v>66145</v>
      </c>
      <c r="O16" s="29">
        <f t="shared" si="1"/>
        <v>7775</v>
      </c>
      <c r="P16" s="29">
        <f t="shared" si="1"/>
        <v>7079</v>
      </c>
      <c r="Q16" s="29">
        <f t="shared" si="1"/>
        <v>7331</v>
      </c>
      <c r="R16" s="29">
        <f t="shared" si="1"/>
        <v>10735.089999999998</v>
      </c>
      <c r="S16" s="29">
        <f t="shared" si="1"/>
        <v>34001.32000000008</v>
      </c>
      <c r="T16" s="29">
        <f t="shared" si="1"/>
        <v>51</v>
      </c>
      <c r="U16" s="29">
        <f t="shared" si="1"/>
        <v>9582</v>
      </c>
      <c r="V16" s="29">
        <f t="shared" si="1"/>
        <v>195.19999999999709</v>
      </c>
      <c r="W16" s="29">
        <f t="shared" si="1"/>
        <v>32726</v>
      </c>
      <c r="X16" s="29">
        <f t="shared" si="1"/>
        <v>3435</v>
      </c>
      <c r="Y16" s="29">
        <f t="shared" si="1"/>
        <v>7310</v>
      </c>
      <c r="Z16" s="29">
        <f t="shared" si="1"/>
        <v>11114</v>
      </c>
      <c r="AA16" s="29">
        <f t="shared" si="1"/>
        <v>32219</v>
      </c>
      <c r="AB16" s="29">
        <f t="shared" si="1"/>
        <v>10548</v>
      </c>
      <c r="AC16" s="29">
        <f t="shared" si="1"/>
        <v>74493</v>
      </c>
      <c r="AD16" s="29">
        <f t="shared" si="1"/>
        <v>18849</v>
      </c>
      <c r="AE16" s="29">
        <f t="shared" si="1"/>
        <v>15295</v>
      </c>
      <c r="AF16" s="29">
        <f t="shared" si="1"/>
        <v>1453</v>
      </c>
      <c r="AG16" s="80">
        <f t="shared" si="0"/>
        <v>945132.45</v>
      </c>
    </row>
    <row r="17" spans="1:33" s="19" customFormat="1" ht="15" customHeight="1" x14ac:dyDescent="0.25">
      <c r="A17" s="81" t="s">
        <v>40</v>
      </c>
      <c r="B17" s="82">
        <v>70349</v>
      </c>
      <c r="C17" s="82">
        <v>72552</v>
      </c>
      <c r="D17" s="26">
        <v>2308395</v>
      </c>
      <c r="E17" s="26">
        <v>1634598</v>
      </c>
      <c r="F17" s="26">
        <v>130947</v>
      </c>
      <c r="G17" s="26">
        <v>983393</v>
      </c>
      <c r="H17" s="26">
        <v>725400</v>
      </c>
      <c r="I17" s="26">
        <v>707608.4</v>
      </c>
      <c r="J17" s="26">
        <v>48261</v>
      </c>
      <c r="K17" s="26">
        <v>385003.04</v>
      </c>
      <c r="L17" s="26">
        <v>1402801</v>
      </c>
      <c r="M17" s="26">
        <v>3545209</v>
      </c>
      <c r="N17" s="26">
        <v>1079417</v>
      </c>
      <c r="O17" s="26">
        <v>80470</v>
      </c>
      <c r="P17" s="26">
        <v>216253</v>
      </c>
      <c r="Q17" s="26">
        <v>322412</v>
      </c>
      <c r="R17" s="26">
        <v>32778.769999999997</v>
      </c>
      <c r="S17" s="26">
        <v>2945957.79</v>
      </c>
      <c r="T17" s="26">
        <v>53910</v>
      </c>
      <c r="U17" s="26">
        <v>103330</v>
      </c>
      <c r="V17" s="26">
        <v>52268</v>
      </c>
      <c r="W17" s="26">
        <v>1385565</v>
      </c>
      <c r="X17" s="26">
        <v>554138</v>
      </c>
      <c r="Y17" s="26">
        <v>730127</v>
      </c>
      <c r="Z17" s="26">
        <v>822827</v>
      </c>
      <c r="AA17" s="26">
        <v>176575</v>
      </c>
      <c r="AB17" s="26">
        <v>1421870</v>
      </c>
      <c r="AC17" s="26">
        <v>4146609</v>
      </c>
      <c r="AD17" s="26">
        <v>2300413</v>
      </c>
      <c r="AE17" s="26">
        <v>2945673</v>
      </c>
      <c r="AF17" s="26">
        <v>296856</v>
      </c>
      <c r="AG17" s="26">
        <f t="shared" si="0"/>
        <v>31681966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3" customWidth="1"/>
    <col min="2" max="32" width="16" style="3" customWidth="1"/>
    <col min="33" max="16384" width="9.140625" style="3"/>
  </cols>
  <sheetData>
    <row r="1" spans="1:32" ht="18.75" x14ac:dyDescent="0.3">
      <c r="A1" s="5" t="s">
        <v>302</v>
      </c>
    </row>
    <row r="2" spans="1:32" x14ac:dyDescent="0.25">
      <c r="A2" s="2" t="s">
        <v>98</v>
      </c>
    </row>
    <row r="3" spans="1:32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</row>
    <row r="4" spans="1:32" x14ac:dyDescent="0.25">
      <c r="A4" s="24" t="s">
        <v>266</v>
      </c>
      <c r="B4" s="24">
        <v>43625</v>
      </c>
      <c r="C4" s="24">
        <v>86548</v>
      </c>
      <c r="D4" s="24">
        <v>59459</v>
      </c>
      <c r="E4" s="24">
        <v>414405</v>
      </c>
      <c r="F4" s="24">
        <v>189551</v>
      </c>
      <c r="G4" s="24">
        <v>262420</v>
      </c>
      <c r="H4" s="24">
        <v>251245</v>
      </c>
      <c r="I4" s="24">
        <v>48588.54</v>
      </c>
      <c r="J4" s="24">
        <v>16547</v>
      </c>
      <c r="K4" s="24">
        <v>140837.96</v>
      </c>
      <c r="L4" s="24">
        <v>493271</v>
      </c>
      <c r="M4" s="24">
        <v>802748</v>
      </c>
      <c r="N4" s="24">
        <v>308769</v>
      </c>
      <c r="O4" s="24">
        <v>48630</v>
      </c>
      <c r="P4" s="24">
        <v>82218</v>
      </c>
      <c r="Q4" s="24">
        <v>88356</v>
      </c>
      <c r="R4" s="24">
        <v>54278.35</v>
      </c>
      <c r="S4" s="24">
        <v>581262.81000000006</v>
      </c>
      <c r="T4" s="24">
        <v>17607</v>
      </c>
      <c r="U4" s="24">
        <v>127568</v>
      </c>
      <c r="V4" s="24">
        <v>22057</v>
      </c>
      <c r="W4" s="24">
        <v>250033</v>
      </c>
      <c r="X4" s="24">
        <v>130675</v>
      </c>
      <c r="Y4" s="24">
        <v>340720</v>
      </c>
      <c r="Z4" s="24">
        <v>100562</v>
      </c>
      <c r="AA4" s="24">
        <v>607405</v>
      </c>
      <c r="AB4" s="24">
        <v>440701</v>
      </c>
      <c r="AC4" s="24">
        <v>1392231</v>
      </c>
      <c r="AD4" s="24">
        <v>654273</v>
      </c>
      <c r="AE4" s="24">
        <v>742330</v>
      </c>
      <c r="AF4" s="24">
        <v>128448</v>
      </c>
    </row>
    <row r="5" spans="1:32" x14ac:dyDescent="0.25">
      <c r="A5" s="24" t="s">
        <v>267</v>
      </c>
      <c r="B5" s="24"/>
      <c r="C5" s="24"/>
      <c r="D5" s="24">
        <v>11600</v>
      </c>
      <c r="E5" s="24"/>
      <c r="F5" s="24"/>
      <c r="G5" s="24"/>
      <c r="H5" s="24"/>
      <c r="I5" s="24">
        <v>21543</v>
      </c>
      <c r="J5" s="24"/>
      <c r="K5" s="24"/>
      <c r="L5" s="24"/>
      <c r="M5" s="24"/>
      <c r="N5" s="24"/>
      <c r="O5" s="24"/>
      <c r="P5" s="24"/>
      <c r="Q5" s="24">
        <v>46</v>
      </c>
      <c r="R5" s="24"/>
      <c r="S5" s="24">
        <v>1953.11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>
        <v>43423</v>
      </c>
      <c r="AE5" s="24"/>
      <c r="AF5" s="24"/>
    </row>
    <row r="6" spans="1:32" x14ac:dyDescent="0.25">
      <c r="A6" s="24" t="s">
        <v>313</v>
      </c>
      <c r="B6" s="24"/>
      <c r="C6" s="24"/>
      <c r="D6" s="24"/>
      <c r="E6" s="24">
        <v>4287</v>
      </c>
      <c r="F6" s="24">
        <v>1119</v>
      </c>
      <c r="G6" s="24"/>
      <c r="H6" s="24"/>
      <c r="I6" s="24"/>
      <c r="J6" s="24"/>
      <c r="K6" s="24"/>
      <c r="L6" s="24">
        <v>895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>
        <v>12</v>
      </c>
      <c r="X6" s="24"/>
      <c r="Y6" s="24">
        <v>1792</v>
      </c>
      <c r="Z6" s="24">
        <v>2180</v>
      </c>
      <c r="AA6" s="24"/>
      <c r="AB6" s="24">
        <v>8257</v>
      </c>
      <c r="AC6" s="24"/>
      <c r="AD6" s="24"/>
      <c r="AE6" s="24"/>
      <c r="AF6" s="24"/>
    </row>
    <row r="7" spans="1:32" x14ac:dyDescent="0.25">
      <c r="A7" s="24" t="s">
        <v>268</v>
      </c>
      <c r="B7" s="24">
        <v>1495</v>
      </c>
      <c r="C7" s="24"/>
      <c r="D7" s="24">
        <v>5958</v>
      </c>
      <c r="E7" s="24"/>
      <c r="F7" s="24">
        <v>1114</v>
      </c>
      <c r="G7" s="24">
        <v>3724</v>
      </c>
      <c r="H7" s="24"/>
      <c r="I7" s="24">
        <f>5953.22+101.29+1562.88</f>
        <v>7617.39</v>
      </c>
      <c r="J7" s="24">
        <f>273+88+559</f>
        <v>920</v>
      </c>
      <c r="K7" s="24">
        <v>4504.08</v>
      </c>
      <c r="L7" s="24">
        <v>859</v>
      </c>
      <c r="M7" s="24">
        <f>244+5496</f>
        <v>5740</v>
      </c>
      <c r="N7" s="24">
        <v>6883</v>
      </c>
      <c r="O7" s="24">
        <v>1096</v>
      </c>
      <c r="P7" s="24"/>
      <c r="Q7" s="24">
        <v>1783</v>
      </c>
      <c r="R7" s="24"/>
      <c r="S7" s="24"/>
      <c r="T7" s="24">
        <v>48</v>
      </c>
      <c r="U7" s="24">
        <v>1098</v>
      </c>
      <c r="V7" s="24">
        <v>2255</v>
      </c>
      <c r="W7" s="24">
        <f>82+1991</f>
        <v>2073</v>
      </c>
      <c r="X7" s="24"/>
      <c r="Y7" s="24"/>
      <c r="Z7" s="24">
        <v>256</v>
      </c>
      <c r="AA7" s="24"/>
      <c r="AB7" s="24">
        <v>2186</v>
      </c>
      <c r="AC7" s="24">
        <v>81657</v>
      </c>
      <c r="AD7" s="24"/>
      <c r="AE7" s="24">
        <v>675</v>
      </c>
      <c r="AF7" s="24"/>
    </row>
    <row r="8" spans="1:32" x14ac:dyDescent="0.25">
      <c r="A8" s="24" t="s">
        <v>31</v>
      </c>
      <c r="B8" s="24"/>
      <c r="C8" s="24">
        <f>1195+337+1316+94</f>
        <v>2942</v>
      </c>
      <c r="D8" s="24">
        <v>8031</v>
      </c>
      <c r="E8" s="24">
        <f>106+1819+382</f>
        <v>2307</v>
      </c>
      <c r="F8" s="24">
        <v>12</v>
      </c>
      <c r="G8" s="24"/>
      <c r="H8" s="24">
        <f>377+358+754</f>
        <v>1489</v>
      </c>
      <c r="I8" s="24">
        <v>10546.3</v>
      </c>
      <c r="J8" s="24">
        <v>191</v>
      </c>
      <c r="K8" s="24"/>
      <c r="L8" s="24"/>
      <c r="M8" s="24"/>
      <c r="N8" s="24"/>
      <c r="O8" s="24"/>
      <c r="P8" s="24">
        <f>66+133+1943</f>
        <v>2142</v>
      </c>
      <c r="Q8" s="24">
        <v>50</v>
      </c>
      <c r="R8" s="24">
        <f>302.47+42.51</f>
        <v>344.98</v>
      </c>
      <c r="S8" s="24">
        <f>S9-S4-S5-S6-S7</f>
        <v>122838.16999999991</v>
      </c>
      <c r="T8" s="24"/>
      <c r="U8" s="24"/>
      <c r="V8" s="24"/>
      <c r="W8" s="24">
        <v>1000</v>
      </c>
      <c r="X8" s="24">
        <v>103</v>
      </c>
      <c r="Y8" s="24">
        <f>966+931+18492</f>
        <v>20389</v>
      </c>
      <c r="Z8" s="24">
        <v>2795</v>
      </c>
      <c r="AA8" s="24">
        <f>497+2843</f>
        <v>3340</v>
      </c>
      <c r="AB8" s="24"/>
      <c r="AC8" s="24">
        <v>119071</v>
      </c>
      <c r="AD8" s="24">
        <f>97160+91568+58210+1386+1293</f>
        <v>249617</v>
      </c>
      <c r="AE8" s="24">
        <f>8133+450+28505+946+82523</f>
        <v>120557</v>
      </c>
      <c r="AF8" s="24">
        <v>125</v>
      </c>
    </row>
    <row r="9" spans="1:32" s="4" customFormat="1" x14ac:dyDescent="0.25">
      <c r="A9" s="26" t="s">
        <v>40</v>
      </c>
      <c r="B9" s="26">
        <f>SUM(B4:B8)</f>
        <v>45120</v>
      </c>
      <c r="C9" s="26">
        <f t="shared" ref="C9:AF9" si="0">SUM(C4:C8)</f>
        <v>89490</v>
      </c>
      <c r="D9" s="26">
        <f t="shared" si="0"/>
        <v>85048</v>
      </c>
      <c r="E9" s="26">
        <f t="shared" si="0"/>
        <v>420999</v>
      </c>
      <c r="F9" s="26">
        <f t="shared" si="0"/>
        <v>191796</v>
      </c>
      <c r="G9" s="26">
        <f t="shared" si="0"/>
        <v>266144</v>
      </c>
      <c r="H9" s="26">
        <f t="shared" si="0"/>
        <v>252734</v>
      </c>
      <c r="I9" s="26">
        <f t="shared" si="0"/>
        <v>88295.23000000001</v>
      </c>
      <c r="J9" s="26">
        <f t="shared" si="0"/>
        <v>17658</v>
      </c>
      <c r="K9" s="26">
        <f t="shared" si="0"/>
        <v>145342.03999999998</v>
      </c>
      <c r="L9" s="26">
        <f t="shared" si="0"/>
        <v>495025</v>
      </c>
      <c r="M9" s="26">
        <f t="shared" si="0"/>
        <v>808488</v>
      </c>
      <c r="N9" s="26">
        <f t="shared" si="0"/>
        <v>315652</v>
      </c>
      <c r="O9" s="26">
        <f t="shared" si="0"/>
        <v>49726</v>
      </c>
      <c r="P9" s="26">
        <f t="shared" si="0"/>
        <v>84360</v>
      </c>
      <c r="Q9" s="26">
        <f t="shared" si="0"/>
        <v>90235</v>
      </c>
      <c r="R9" s="26">
        <f t="shared" si="0"/>
        <v>54623.33</v>
      </c>
      <c r="S9" s="26">
        <v>706054.09</v>
      </c>
      <c r="T9" s="26">
        <f t="shared" si="0"/>
        <v>17655</v>
      </c>
      <c r="U9" s="26">
        <f t="shared" si="0"/>
        <v>128666</v>
      </c>
      <c r="V9" s="26">
        <f t="shared" si="0"/>
        <v>24312</v>
      </c>
      <c r="W9" s="26">
        <f t="shared" si="0"/>
        <v>253118</v>
      </c>
      <c r="X9" s="26">
        <f t="shared" si="0"/>
        <v>130778</v>
      </c>
      <c r="Y9" s="26">
        <f t="shared" si="0"/>
        <v>362901</v>
      </c>
      <c r="Z9" s="26">
        <f t="shared" si="0"/>
        <v>105793</v>
      </c>
      <c r="AA9" s="26">
        <f t="shared" si="0"/>
        <v>610745</v>
      </c>
      <c r="AB9" s="26">
        <f t="shared" si="0"/>
        <v>451144</v>
      </c>
      <c r="AC9" s="26">
        <f t="shared" si="0"/>
        <v>1592959</v>
      </c>
      <c r="AD9" s="26">
        <f t="shared" si="0"/>
        <v>947313</v>
      </c>
      <c r="AE9" s="26">
        <f t="shared" si="0"/>
        <v>863562</v>
      </c>
      <c r="AF9" s="26">
        <f t="shared" si="0"/>
        <v>128573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K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  <col min="36" max="37" width="16" style="20" customWidth="1"/>
    <col min="38" max="63" width="16" customWidth="1"/>
  </cols>
  <sheetData>
    <row r="1" spans="1:63" ht="18.75" x14ac:dyDescent="0.3">
      <c r="A1" s="6" t="s">
        <v>247</v>
      </c>
    </row>
    <row r="2" spans="1:63" x14ac:dyDescent="0.25">
      <c r="A2" s="42" t="s">
        <v>0</v>
      </c>
      <c r="B2" s="94" t="s">
        <v>1</v>
      </c>
      <c r="C2" s="95"/>
      <c r="D2" s="94" t="s">
        <v>232</v>
      </c>
      <c r="E2" s="95"/>
      <c r="F2" s="94" t="s">
        <v>2</v>
      </c>
      <c r="G2" s="95"/>
      <c r="H2" s="94" t="s">
        <v>3</v>
      </c>
      <c r="I2" s="95"/>
      <c r="J2" s="94" t="s">
        <v>241</v>
      </c>
      <c r="K2" s="95"/>
      <c r="L2" s="94" t="s">
        <v>233</v>
      </c>
      <c r="M2" s="95"/>
      <c r="N2" s="94" t="s">
        <v>246</v>
      </c>
      <c r="O2" s="95"/>
      <c r="P2" s="94" t="s">
        <v>5</v>
      </c>
      <c r="Q2" s="95"/>
      <c r="R2" s="94" t="s">
        <v>4</v>
      </c>
      <c r="S2" s="95"/>
      <c r="T2" s="94" t="s">
        <v>6</v>
      </c>
      <c r="U2" s="95"/>
      <c r="V2" s="94" t="s">
        <v>7</v>
      </c>
      <c r="W2" s="95"/>
      <c r="X2" s="94" t="s">
        <v>8</v>
      </c>
      <c r="Y2" s="95"/>
      <c r="Z2" s="94" t="s">
        <v>9</v>
      </c>
      <c r="AA2" s="95"/>
      <c r="AB2" s="94" t="s">
        <v>240</v>
      </c>
      <c r="AC2" s="95"/>
      <c r="AD2" s="94" t="s">
        <v>10</v>
      </c>
      <c r="AE2" s="95"/>
      <c r="AF2" s="94" t="s">
        <v>11</v>
      </c>
      <c r="AG2" s="95"/>
      <c r="AH2" s="94" t="s">
        <v>234</v>
      </c>
      <c r="AI2" s="95"/>
      <c r="AJ2" s="94" t="s">
        <v>12</v>
      </c>
      <c r="AK2" s="95"/>
      <c r="AL2" s="94" t="s">
        <v>235</v>
      </c>
      <c r="AM2" s="95"/>
      <c r="AN2" s="94" t="s">
        <v>300</v>
      </c>
      <c r="AO2" s="95"/>
      <c r="AP2" s="94" t="s">
        <v>236</v>
      </c>
      <c r="AQ2" s="95"/>
      <c r="AR2" s="94" t="s">
        <v>239</v>
      </c>
      <c r="AS2" s="95"/>
      <c r="AT2" s="94" t="s">
        <v>13</v>
      </c>
      <c r="AU2" s="95"/>
      <c r="AV2" s="94" t="s">
        <v>14</v>
      </c>
      <c r="AW2" s="95"/>
      <c r="AX2" s="94" t="s">
        <v>15</v>
      </c>
      <c r="AY2" s="95"/>
      <c r="AZ2" s="94" t="s">
        <v>16</v>
      </c>
      <c r="BA2" s="95"/>
      <c r="BB2" s="94" t="s">
        <v>17</v>
      </c>
      <c r="BC2" s="95"/>
      <c r="BD2" s="94" t="s">
        <v>237</v>
      </c>
      <c r="BE2" s="95"/>
      <c r="BF2" s="94" t="s">
        <v>238</v>
      </c>
      <c r="BG2" s="95"/>
      <c r="BH2" s="94" t="s">
        <v>18</v>
      </c>
      <c r="BI2" s="95"/>
      <c r="BJ2" s="94" t="s">
        <v>19</v>
      </c>
      <c r="BK2" s="95"/>
    </row>
    <row r="3" spans="1:63" ht="30" x14ac:dyDescent="0.25">
      <c r="A3" s="42"/>
      <c r="B3" s="34" t="s">
        <v>298</v>
      </c>
      <c r="C3" s="35" t="s">
        <v>299</v>
      </c>
      <c r="D3" s="34" t="s">
        <v>298</v>
      </c>
      <c r="E3" s="35" t="s">
        <v>299</v>
      </c>
      <c r="F3" s="34" t="s">
        <v>298</v>
      </c>
      <c r="G3" s="35" t="s">
        <v>299</v>
      </c>
      <c r="H3" s="34" t="s">
        <v>298</v>
      </c>
      <c r="I3" s="35" t="s">
        <v>299</v>
      </c>
      <c r="J3" s="34" t="s">
        <v>298</v>
      </c>
      <c r="K3" s="35" t="s">
        <v>299</v>
      </c>
      <c r="L3" s="34" t="s">
        <v>298</v>
      </c>
      <c r="M3" s="35" t="s">
        <v>299</v>
      </c>
      <c r="N3" s="34" t="s">
        <v>298</v>
      </c>
      <c r="O3" s="35" t="s">
        <v>299</v>
      </c>
      <c r="P3" s="34" t="s">
        <v>298</v>
      </c>
      <c r="Q3" s="35" t="s">
        <v>299</v>
      </c>
      <c r="R3" s="34" t="s">
        <v>298</v>
      </c>
      <c r="S3" s="35" t="s">
        <v>299</v>
      </c>
      <c r="T3" s="34" t="s">
        <v>298</v>
      </c>
      <c r="U3" s="35" t="s">
        <v>299</v>
      </c>
      <c r="V3" s="34" t="s">
        <v>298</v>
      </c>
      <c r="W3" s="35" t="s">
        <v>299</v>
      </c>
      <c r="X3" s="34" t="s">
        <v>298</v>
      </c>
      <c r="Y3" s="35" t="s">
        <v>299</v>
      </c>
      <c r="Z3" s="34" t="s">
        <v>298</v>
      </c>
      <c r="AA3" s="35" t="s">
        <v>299</v>
      </c>
      <c r="AB3" s="34" t="s">
        <v>298</v>
      </c>
      <c r="AC3" s="35" t="s">
        <v>299</v>
      </c>
      <c r="AD3" s="34" t="s">
        <v>298</v>
      </c>
      <c r="AE3" s="35" t="s">
        <v>299</v>
      </c>
      <c r="AF3" s="34" t="s">
        <v>298</v>
      </c>
      <c r="AG3" s="35" t="s">
        <v>299</v>
      </c>
      <c r="AH3" s="34" t="s">
        <v>298</v>
      </c>
      <c r="AI3" s="35" t="s">
        <v>299</v>
      </c>
      <c r="AJ3" s="34" t="s">
        <v>298</v>
      </c>
      <c r="AK3" s="35" t="s">
        <v>299</v>
      </c>
      <c r="AL3" s="34" t="s">
        <v>298</v>
      </c>
      <c r="AM3" s="35" t="s">
        <v>299</v>
      </c>
      <c r="AN3" s="34" t="s">
        <v>298</v>
      </c>
      <c r="AO3" s="35" t="s">
        <v>299</v>
      </c>
      <c r="AP3" s="34" t="s">
        <v>298</v>
      </c>
      <c r="AQ3" s="35" t="s">
        <v>299</v>
      </c>
      <c r="AR3" s="34" t="s">
        <v>298</v>
      </c>
      <c r="AS3" s="35" t="s">
        <v>299</v>
      </c>
      <c r="AT3" s="34" t="s">
        <v>298</v>
      </c>
      <c r="AU3" s="35" t="s">
        <v>299</v>
      </c>
      <c r="AV3" s="34" t="s">
        <v>298</v>
      </c>
      <c r="AW3" s="35" t="s">
        <v>299</v>
      </c>
      <c r="AX3" s="34" t="s">
        <v>298</v>
      </c>
      <c r="AY3" s="35" t="s">
        <v>299</v>
      </c>
      <c r="AZ3" s="34" t="s">
        <v>298</v>
      </c>
      <c r="BA3" s="35" t="s">
        <v>299</v>
      </c>
      <c r="BB3" s="34" t="s">
        <v>298</v>
      </c>
      <c r="BC3" s="35" t="s">
        <v>299</v>
      </c>
      <c r="BD3" s="34" t="s">
        <v>298</v>
      </c>
      <c r="BE3" s="35" t="s">
        <v>299</v>
      </c>
      <c r="BF3" s="34" t="s">
        <v>298</v>
      </c>
      <c r="BG3" s="35" t="s">
        <v>299</v>
      </c>
      <c r="BH3" s="34" t="s">
        <v>298</v>
      </c>
      <c r="BI3" s="35" t="s">
        <v>299</v>
      </c>
      <c r="BJ3" s="34" t="s">
        <v>298</v>
      </c>
      <c r="BK3" s="35" t="s">
        <v>299</v>
      </c>
    </row>
    <row r="4" spans="1:63" x14ac:dyDescent="0.25">
      <c r="A4" s="49" t="s">
        <v>123</v>
      </c>
      <c r="B4" s="50">
        <v>0.58699999999999997</v>
      </c>
      <c r="C4" s="50">
        <v>0.70279999999999998</v>
      </c>
      <c r="D4" s="51">
        <v>0.62</v>
      </c>
      <c r="E4" s="51">
        <v>0.66</v>
      </c>
      <c r="F4" s="50">
        <v>0.13300000000000001</v>
      </c>
      <c r="G4" s="50">
        <v>0.11849999999999999</v>
      </c>
      <c r="H4" s="50">
        <v>-5.5899999999999998E-2</v>
      </c>
      <c r="I4" s="52">
        <v>4.65E-2</v>
      </c>
      <c r="J4" s="41">
        <v>0.39</v>
      </c>
      <c r="K4" s="41">
        <v>0.43</v>
      </c>
      <c r="L4" s="50">
        <v>0.2064</v>
      </c>
      <c r="M4" s="50">
        <v>0.30249999999999999</v>
      </c>
      <c r="N4" s="50">
        <v>0.44840000000000002</v>
      </c>
      <c r="O4" s="50">
        <v>0.66620000000000001</v>
      </c>
      <c r="P4" s="50">
        <v>4.3400000000000001E-2</v>
      </c>
      <c r="Q4" s="50">
        <v>0.15570000000000001</v>
      </c>
      <c r="R4" s="53">
        <v>0.7</v>
      </c>
      <c r="S4" s="53">
        <v>0.75</v>
      </c>
      <c r="T4" s="53">
        <v>-0.06</v>
      </c>
      <c r="U4" s="53">
        <v>0.06</v>
      </c>
      <c r="V4" s="52">
        <v>0.1908</v>
      </c>
      <c r="W4" s="50">
        <v>0.2263</v>
      </c>
      <c r="X4" s="53">
        <v>0.17</v>
      </c>
      <c r="Y4" s="53">
        <v>0.23</v>
      </c>
      <c r="Z4" s="50">
        <v>-4.5199999999999997E-2</v>
      </c>
      <c r="AA4" s="50">
        <v>4.1799999999999997E-2</v>
      </c>
      <c r="AB4" s="53">
        <v>0.78</v>
      </c>
      <c r="AC4" s="53">
        <v>0.8</v>
      </c>
      <c r="AD4" s="53">
        <v>0.28000000000000003</v>
      </c>
      <c r="AE4" s="115">
        <v>0.32</v>
      </c>
      <c r="AF4" s="50">
        <v>0.504</v>
      </c>
      <c r="AG4" s="50">
        <v>0.64100000000000001</v>
      </c>
      <c r="AH4" s="53">
        <v>0.34</v>
      </c>
      <c r="AI4" s="53">
        <v>0.35</v>
      </c>
      <c r="AJ4" s="58">
        <v>0.23100000000000001</v>
      </c>
      <c r="AK4" s="116">
        <v>0.15129999999999999</v>
      </c>
      <c r="AL4" s="53">
        <v>-0.45</v>
      </c>
      <c r="AM4" s="53">
        <v>0.02</v>
      </c>
      <c r="AN4" s="54">
        <v>0.45</v>
      </c>
      <c r="AO4" s="54">
        <v>0.4</v>
      </c>
      <c r="AP4" s="52">
        <v>0.379</v>
      </c>
      <c r="AQ4" s="52">
        <v>0.33300000000000002</v>
      </c>
      <c r="AR4" s="51">
        <v>0.06</v>
      </c>
      <c r="AS4" s="52">
        <v>0.12</v>
      </c>
      <c r="AT4" s="52">
        <v>0.11899999999999999</v>
      </c>
      <c r="AU4" s="52">
        <v>0.14599999999999999</v>
      </c>
      <c r="AV4" s="50">
        <v>9.1800000000000007E-2</v>
      </c>
      <c r="AW4" s="50">
        <v>0.20780000000000001</v>
      </c>
      <c r="AX4" s="50">
        <v>0.3518</v>
      </c>
      <c r="AY4" s="50">
        <v>0.26989999999999997</v>
      </c>
      <c r="AZ4" s="50">
        <v>0.10680000000000001</v>
      </c>
      <c r="BA4" s="50">
        <v>0.1157</v>
      </c>
      <c r="BB4" s="53">
        <v>0.33</v>
      </c>
      <c r="BC4" s="53">
        <v>0.36</v>
      </c>
      <c r="BD4" s="41">
        <v>-3.1</v>
      </c>
      <c r="BE4" s="41">
        <v>1.8</v>
      </c>
      <c r="BF4" s="41">
        <v>9.3800000000000008</v>
      </c>
      <c r="BG4" s="41">
        <v>12.36</v>
      </c>
      <c r="BH4" s="50">
        <v>0.16889999999999999</v>
      </c>
      <c r="BI4" s="50">
        <v>0.16889999999999999</v>
      </c>
      <c r="BJ4" s="50">
        <v>0.17130000000000001</v>
      </c>
      <c r="BK4" s="50">
        <v>0.32540000000000002</v>
      </c>
    </row>
    <row r="5" spans="1:63" ht="15" customHeight="1" x14ac:dyDescent="0.25">
      <c r="A5" s="49" t="s">
        <v>124</v>
      </c>
      <c r="B5" s="27">
        <v>0.36</v>
      </c>
      <c r="C5" s="27">
        <v>0.66</v>
      </c>
      <c r="D5" s="51">
        <v>0.97</v>
      </c>
      <c r="E5" s="51">
        <v>1.93</v>
      </c>
      <c r="F5" s="55">
        <v>1.53</v>
      </c>
      <c r="G5" s="55">
        <v>1.56</v>
      </c>
      <c r="H5" s="27">
        <v>0.53</v>
      </c>
      <c r="I5" s="27">
        <v>0.87</v>
      </c>
      <c r="J5" s="41">
        <v>0.82</v>
      </c>
      <c r="K5" s="41">
        <v>1.51</v>
      </c>
      <c r="L5" s="41">
        <v>0.72</v>
      </c>
      <c r="M5" s="41">
        <v>1.36</v>
      </c>
      <c r="N5" s="41">
        <v>0.63</v>
      </c>
      <c r="O5" s="41">
        <v>1.31</v>
      </c>
      <c r="P5" s="27">
        <v>0.06</v>
      </c>
      <c r="Q5" s="27">
        <v>0.06</v>
      </c>
      <c r="R5" s="27">
        <v>1.1399999999999999</v>
      </c>
      <c r="S5" s="27">
        <v>1.93</v>
      </c>
      <c r="T5" s="27">
        <v>0.81</v>
      </c>
      <c r="U5" s="27">
        <v>1.48</v>
      </c>
      <c r="V5" s="41">
        <v>1.4</v>
      </c>
      <c r="W5" s="41">
        <v>2.2599999999999998</v>
      </c>
      <c r="X5" s="27">
        <v>0.5</v>
      </c>
      <c r="Y5" s="27">
        <v>1.1000000000000001</v>
      </c>
      <c r="Z5" s="50"/>
      <c r="AA5" s="41">
        <v>1.2</v>
      </c>
      <c r="AB5" s="27">
        <v>0.81</v>
      </c>
      <c r="AC5" s="27">
        <v>1.44</v>
      </c>
      <c r="AD5" s="27">
        <v>0.54</v>
      </c>
      <c r="AE5" s="27">
        <v>1.0900000000000001</v>
      </c>
      <c r="AF5" s="41">
        <v>0.83</v>
      </c>
      <c r="AG5" s="41">
        <v>1.59</v>
      </c>
      <c r="AH5" s="54">
        <v>1.26</v>
      </c>
      <c r="AI5" s="54">
        <v>2.42</v>
      </c>
      <c r="AJ5" s="56">
        <v>4.07</v>
      </c>
      <c r="AK5" s="56">
        <v>7.5</v>
      </c>
      <c r="AL5" s="27">
        <v>0.08</v>
      </c>
      <c r="AM5" s="27">
        <v>0.18</v>
      </c>
      <c r="AN5" s="56" t="s">
        <v>319</v>
      </c>
      <c r="AO5" s="56" t="s">
        <v>324</v>
      </c>
      <c r="AP5" s="41">
        <v>0.78</v>
      </c>
      <c r="AQ5" s="41">
        <v>1.42</v>
      </c>
      <c r="AR5" s="27">
        <v>1.3</v>
      </c>
      <c r="AS5" s="27">
        <v>2.2999999999999998</v>
      </c>
      <c r="AT5" s="27">
        <v>0.55000000000000004</v>
      </c>
      <c r="AU5" s="27">
        <v>1.05</v>
      </c>
      <c r="AV5" s="27">
        <v>1.08</v>
      </c>
      <c r="AW5" s="27">
        <v>1.67</v>
      </c>
      <c r="AX5" s="50">
        <v>0.25590000000000002</v>
      </c>
      <c r="AY5" s="50">
        <v>0.43</v>
      </c>
      <c r="AZ5" s="27">
        <v>0.65</v>
      </c>
      <c r="BA5" s="27">
        <v>1.1599999999999999</v>
      </c>
      <c r="BB5" s="27">
        <v>0.8</v>
      </c>
      <c r="BC5" s="27">
        <v>1.57</v>
      </c>
      <c r="BD5" s="41">
        <v>0.46</v>
      </c>
      <c r="BE5" s="41">
        <v>1</v>
      </c>
      <c r="BF5" s="27">
        <v>-1.31</v>
      </c>
      <c r="BG5" s="27">
        <v>-2.81</v>
      </c>
      <c r="BH5" s="27">
        <v>6.28</v>
      </c>
      <c r="BI5" s="27">
        <v>6.28</v>
      </c>
      <c r="BJ5" s="41">
        <v>1.06</v>
      </c>
      <c r="BK5" s="41">
        <v>1.75</v>
      </c>
    </row>
    <row r="6" spans="1:63" x14ac:dyDescent="0.25">
      <c r="A6" s="49" t="s">
        <v>125</v>
      </c>
      <c r="B6" s="53">
        <v>4.2605000000000004</v>
      </c>
      <c r="C6" s="53">
        <v>4.2605000000000004</v>
      </c>
      <c r="D6" s="51">
        <v>0.26</v>
      </c>
      <c r="E6" s="51">
        <v>0.26</v>
      </c>
      <c r="F6" s="52">
        <v>0.16650000000000001</v>
      </c>
      <c r="G6" s="52">
        <v>0.16650000000000001</v>
      </c>
      <c r="H6" s="50">
        <v>0.1348</v>
      </c>
      <c r="I6" s="50">
        <v>0.1348</v>
      </c>
      <c r="J6" s="41">
        <v>0.3</v>
      </c>
      <c r="K6" s="41">
        <v>0.55000000000000004</v>
      </c>
      <c r="L6" s="50">
        <v>5.5199999999999999E-2</v>
      </c>
      <c r="M6" s="50">
        <v>5.5199999999999999E-2</v>
      </c>
      <c r="N6" s="50">
        <v>0.89790000000000003</v>
      </c>
      <c r="O6" s="50">
        <v>0.89790000000000003</v>
      </c>
      <c r="P6" s="50">
        <v>0.24829999999999999</v>
      </c>
      <c r="Q6" s="50">
        <v>0.24829999999999999</v>
      </c>
      <c r="R6" s="53">
        <v>7.0000000000000007E-2</v>
      </c>
      <c r="S6" s="53">
        <v>0.12</v>
      </c>
      <c r="T6" s="53">
        <v>0.11</v>
      </c>
      <c r="U6" s="53">
        <v>0.11</v>
      </c>
      <c r="V6" s="50">
        <v>0.1411</v>
      </c>
      <c r="W6" s="50">
        <v>0.1411</v>
      </c>
      <c r="X6" s="53">
        <v>0.04</v>
      </c>
      <c r="Y6" s="53">
        <v>0.08</v>
      </c>
      <c r="Z6" s="50"/>
      <c r="AA6" s="50">
        <v>0.35859999999999997</v>
      </c>
      <c r="AB6" s="53">
        <v>0.18</v>
      </c>
      <c r="AC6" s="51">
        <v>0.18</v>
      </c>
      <c r="AD6" s="41">
        <v>-0.05</v>
      </c>
      <c r="AE6" s="41">
        <v>-0.05</v>
      </c>
      <c r="AF6" s="50">
        <v>0.59799999999999998</v>
      </c>
      <c r="AG6" s="50">
        <v>0.59799999999999998</v>
      </c>
      <c r="AH6" s="53">
        <v>0.21</v>
      </c>
      <c r="AI6" s="53">
        <v>0.21</v>
      </c>
      <c r="AJ6" s="116">
        <v>14.282500000000001</v>
      </c>
      <c r="AK6" s="116">
        <v>14.282500000000001</v>
      </c>
      <c r="AL6" s="53">
        <v>-0.15</v>
      </c>
      <c r="AM6" s="53">
        <v>-0.15</v>
      </c>
      <c r="AN6" s="54">
        <v>0.13</v>
      </c>
      <c r="AO6" s="54">
        <v>0.13</v>
      </c>
      <c r="AP6" s="52">
        <v>-0.16300000000000001</v>
      </c>
      <c r="AQ6" s="52">
        <v>-0.16300000000000001</v>
      </c>
      <c r="AR6" s="51">
        <v>0.03</v>
      </c>
      <c r="AS6" s="51">
        <v>7.0000000000000007E-2</v>
      </c>
      <c r="AT6" s="51">
        <v>1.4E-2</v>
      </c>
      <c r="AU6" s="51">
        <v>1.4E-2</v>
      </c>
      <c r="AV6" s="50">
        <v>4.3299999999999998E-2</v>
      </c>
      <c r="AW6" s="50">
        <v>4.3299999999999998E-2</v>
      </c>
      <c r="AX6" s="50">
        <v>4.7500000000000001E-2</v>
      </c>
      <c r="AY6" s="50">
        <v>4.7500000000000001E-2</v>
      </c>
      <c r="AZ6" s="50">
        <v>8.0399999999999999E-2</v>
      </c>
      <c r="BA6" s="50">
        <v>8.0399999999999999E-2</v>
      </c>
      <c r="BB6" s="53">
        <v>0.02</v>
      </c>
      <c r="BC6" s="53">
        <v>0.11</v>
      </c>
      <c r="BD6" s="50">
        <v>2.04</v>
      </c>
      <c r="BE6" s="50">
        <v>2.04</v>
      </c>
      <c r="BF6" s="27">
        <v>-386.58</v>
      </c>
      <c r="BG6" s="27">
        <v>-386.58</v>
      </c>
      <c r="BH6" s="50">
        <v>-0.55759999999999998</v>
      </c>
      <c r="BI6" s="50">
        <v>-0.55759999999999998</v>
      </c>
      <c r="BJ6" s="50">
        <v>0.1139</v>
      </c>
      <c r="BK6" s="50">
        <v>0.1139</v>
      </c>
    </row>
    <row r="7" spans="1:63" x14ac:dyDescent="0.25">
      <c r="A7" s="49" t="s">
        <v>126</v>
      </c>
      <c r="B7" s="50">
        <v>0.75749999999999995</v>
      </c>
      <c r="C7" s="50">
        <v>0.75970000000000004</v>
      </c>
      <c r="D7" s="51">
        <v>0.82</v>
      </c>
      <c r="E7" s="53">
        <v>0.83</v>
      </c>
      <c r="F7" s="50">
        <v>0.45650000000000002</v>
      </c>
      <c r="G7" s="50">
        <v>0.4582</v>
      </c>
      <c r="H7" s="50">
        <v>0.45579999999999998</v>
      </c>
      <c r="I7" s="50">
        <v>0.49830000000000002</v>
      </c>
      <c r="J7" s="41">
        <v>0.87</v>
      </c>
      <c r="K7" s="41">
        <v>0.87</v>
      </c>
      <c r="L7" s="50">
        <v>0.73750000000000004</v>
      </c>
      <c r="M7" s="50">
        <v>0.72799999999999998</v>
      </c>
      <c r="N7" s="50">
        <v>0.82820000000000005</v>
      </c>
      <c r="O7" s="50">
        <v>0.75749999999999995</v>
      </c>
      <c r="P7" s="50">
        <v>0.80889999999999995</v>
      </c>
      <c r="Q7" s="50">
        <v>0.81240000000000001</v>
      </c>
      <c r="R7" s="53">
        <v>0.68</v>
      </c>
      <c r="S7" s="53">
        <v>0.66</v>
      </c>
      <c r="T7" s="53">
        <v>0.56999999999999995</v>
      </c>
      <c r="U7" s="115">
        <v>0.64</v>
      </c>
      <c r="V7" s="50">
        <v>0.50519999999999998</v>
      </c>
      <c r="W7" s="50">
        <v>0.51249999999999996</v>
      </c>
      <c r="X7" s="53">
        <v>0.7</v>
      </c>
      <c r="Y7" s="53">
        <v>0.68</v>
      </c>
      <c r="Z7" s="50">
        <v>0.74139999999999995</v>
      </c>
      <c r="AA7" s="50">
        <v>0.69669999999999999</v>
      </c>
      <c r="AB7" s="53">
        <v>0.7</v>
      </c>
      <c r="AC7" s="53">
        <v>0.72</v>
      </c>
      <c r="AD7" s="53">
        <v>0.91</v>
      </c>
      <c r="AE7" s="53">
        <v>0.85</v>
      </c>
      <c r="AF7" s="50">
        <v>0.76700000000000002</v>
      </c>
      <c r="AG7" s="50">
        <v>0.74399999999999999</v>
      </c>
      <c r="AH7" s="53">
        <v>0.96</v>
      </c>
      <c r="AI7" s="53">
        <v>0.96</v>
      </c>
      <c r="AJ7" s="116">
        <v>0.77710000000000001</v>
      </c>
      <c r="AK7" s="116">
        <v>0.80189999999999995</v>
      </c>
      <c r="AL7" s="53">
        <v>0.53</v>
      </c>
      <c r="AM7" s="53">
        <v>0.69</v>
      </c>
      <c r="AN7" s="54">
        <v>0.78</v>
      </c>
      <c r="AO7" s="54">
        <v>0.77</v>
      </c>
      <c r="AP7" s="52">
        <v>0.84199999999999997</v>
      </c>
      <c r="AQ7" s="52">
        <v>0.83499999999999996</v>
      </c>
      <c r="AR7" s="51">
        <v>0.56000000000000005</v>
      </c>
      <c r="AS7" s="51">
        <v>0.55000000000000004</v>
      </c>
      <c r="AT7" s="52">
        <v>0.77100000000000002</v>
      </c>
      <c r="AU7" s="52">
        <v>0.73099999999999998</v>
      </c>
      <c r="AV7" s="50">
        <v>0.46600000000000003</v>
      </c>
      <c r="AW7" s="50">
        <v>0.51759999999999995</v>
      </c>
      <c r="AX7" s="50">
        <v>0.92210000000000003</v>
      </c>
      <c r="AY7" s="50">
        <v>0.9173</v>
      </c>
      <c r="AZ7" s="50">
        <v>0.95179999999999998</v>
      </c>
      <c r="BA7" s="50">
        <v>0.9516</v>
      </c>
      <c r="BB7" s="53">
        <v>0.69</v>
      </c>
      <c r="BC7" s="53">
        <v>0.66</v>
      </c>
      <c r="BD7" s="41">
        <v>80.180000000000007</v>
      </c>
      <c r="BE7" s="41">
        <v>78.849999999999994</v>
      </c>
      <c r="BF7" s="27">
        <v>85.95</v>
      </c>
      <c r="BG7" s="27">
        <v>85.78</v>
      </c>
      <c r="BH7" s="50">
        <v>0.84130000000000005</v>
      </c>
      <c r="BI7" s="50">
        <v>0.84130000000000005</v>
      </c>
      <c r="BJ7" s="50">
        <v>0.61040000000000005</v>
      </c>
      <c r="BK7" s="50">
        <v>0.63319999999999999</v>
      </c>
    </row>
    <row r="8" spans="1:63" x14ac:dyDescent="0.25">
      <c r="A8" s="49" t="s">
        <v>127</v>
      </c>
      <c r="B8" s="50">
        <v>1.3899999999999999E-2</v>
      </c>
      <c r="C8" s="50">
        <v>6.1999999999999998E-3</v>
      </c>
      <c r="D8" s="51">
        <v>0.04</v>
      </c>
      <c r="E8" s="53">
        <v>0.04</v>
      </c>
      <c r="F8" s="50">
        <v>-1.1599999999999999E-2</v>
      </c>
      <c r="G8" s="50">
        <v>-1.15E-2</v>
      </c>
      <c r="H8" s="50">
        <v>-6.3399999999999998E-2</v>
      </c>
      <c r="I8" s="50">
        <v>-6.2399999999999997E-2</v>
      </c>
      <c r="J8" s="41">
        <v>0.11</v>
      </c>
      <c r="K8" s="41">
        <v>0.1</v>
      </c>
      <c r="L8" s="50">
        <v>3.39E-2</v>
      </c>
      <c r="M8" s="50">
        <v>3.4200000000000001E-2</v>
      </c>
      <c r="N8" s="50">
        <v>4.9099999999999998E-2</v>
      </c>
      <c r="O8" s="50">
        <v>3.3599999999999998E-2</v>
      </c>
      <c r="P8" s="50">
        <v>-8.0000000000000002E-3</v>
      </c>
      <c r="Q8" s="50">
        <v>-1.26E-2</v>
      </c>
      <c r="R8" s="53">
        <v>0.02</v>
      </c>
      <c r="S8" s="53">
        <v>0.02</v>
      </c>
      <c r="T8" s="53">
        <v>0</v>
      </c>
      <c r="U8" s="115">
        <v>1.9699999999999999E-2</v>
      </c>
      <c r="V8" s="50">
        <v>-2.9000000000000001E-2</v>
      </c>
      <c r="W8" s="50">
        <v>-3.6400000000000002E-2</v>
      </c>
      <c r="X8" s="53">
        <v>0.03</v>
      </c>
      <c r="Y8" s="53">
        <v>0.03</v>
      </c>
      <c r="Z8" s="50">
        <v>7.7499999999999999E-2</v>
      </c>
      <c r="AA8" s="50">
        <v>7.1599999999999997E-2</v>
      </c>
      <c r="AB8" s="53">
        <v>0.01</v>
      </c>
      <c r="AC8" s="53">
        <v>0.02</v>
      </c>
      <c r="AD8" s="53">
        <v>0.11</v>
      </c>
      <c r="AE8" s="53">
        <v>0.1</v>
      </c>
      <c r="AF8" s="50">
        <v>5.5E-2</v>
      </c>
      <c r="AG8" s="50">
        <v>5.0999999999999997E-2</v>
      </c>
      <c r="AH8" s="53">
        <v>0.12</v>
      </c>
      <c r="AI8" s="53">
        <v>0.1</v>
      </c>
      <c r="AJ8" s="116">
        <v>6.0299999999999999E-2</v>
      </c>
      <c r="AK8" s="116">
        <v>6.3299999999999995E-2</v>
      </c>
      <c r="AL8" s="53">
        <v>-0.17</v>
      </c>
      <c r="AM8" s="53">
        <v>-0.03</v>
      </c>
      <c r="AN8" s="54">
        <v>0.02</v>
      </c>
      <c r="AO8" s="54">
        <v>0.04</v>
      </c>
      <c r="AP8" s="52">
        <v>0.151</v>
      </c>
      <c r="AQ8" s="52">
        <v>0.14699999999999999</v>
      </c>
      <c r="AR8" s="51">
        <v>-0.05</v>
      </c>
      <c r="AS8" s="51">
        <v>-0.03</v>
      </c>
      <c r="AT8" s="52">
        <v>4.7E-2</v>
      </c>
      <c r="AU8" s="52">
        <v>3.6999999999999998E-2</v>
      </c>
      <c r="AV8" s="50">
        <v>3.4599999999999999E-2</v>
      </c>
      <c r="AW8" s="50">
        <v>2.06E-2</v>
      </c>
      <c r="AX8" s="50">
        <v>5.3600000000000002E-2</v>
      </c>
      <c r="AY8" s="50">
        <v>5.3999999999999999E-2</v>
      </c>
      <c r="AZ8" s="50">
        <v>0.13039999999999999</v>
      </c>
      <c r="BA8" s="50">
        <v>0.13350000000000001</v>
      </c>
      <c r="BB8" s="53">
        <v>7.0000000000000007E-2</v>
      </c>
      <c r="BC8" s="53">
        <v>0.05</v>
      </c>
      <c r="BD8" s="41">
        <v>8.6300000000000008</v>
      </c>
      <c r="BE8" s="41">
        <v>7.53</v>
      </c>
      <c r="BF8" s="27">
        <v>3.78</v>
      </c>
      <c r="BG8" s="27">
        <v>6.2</v>
      </c>
      <c r="BH8" s="50">
        <v>6.8099999999999994E-2</v>
      </c>
      <c r="BI8" s="50">
        <v>6.8099999999999994E-2</v>
      </c>
      <c r="BJ8" s="50">
        <v>1.55E-2</v>
      </c>
      <c r="BK8" s="50">
        <v>2.2599999999999999E-2</v>
      </c>
    </row>
    <row r="9" spans="1:63" ht="30" x14ac:dyDescent="0.25">
      <c r="A9" s="49" t="s">
        <v>128</v>
      </c>
      <c r="B9" s="50">
        <v>0.46479999999999999</v>
      </c>
      <c r="C9" s="50">
        <v>0.50839999999999996</v>
      </c>
      <c r="D9" s="51">
        <v>0.48</v>
      </c>
      <c r="E9" s="53">
        <v>0.49</v>
      </c>
      <c r="F9" s="50">
        <v>1.9699999999999999E-2</v>
      </c>
      <c r="G9" s="50">
        <v>2.7E-2</v>
      </c>
      <c r="H9" s="50">
        <v>0.19259999999999999</v>
      </c>
      <c r="I9" s="50">
        <v>0.2198</v>
      </c>
      <c r="J9" s="41">
        <v>0.37</v>
      </c>
      <c r="K9" s="41">
        <v>0.39</v>
      </c>
      <c r="L9" s="50">
        <v>0.36030000000000001</v>
      </c>
      <c r="M9" s="50">
        <v>0.3669</v>
      </c>
      <c r="N9" s="50">
        <v>0.41489999999999999</v>
      </c>
      <c r="O9" s="50">
        <v>0.37190000000000001</v>
      </c>
      <c r="P9" s="50">
        <v>0.3362</v>
      </c>
      <c r="Q9" s="50">
        <v>0.30769999999999997</v>
      </c>
      <c r="R9" s="53">
        <v>0.43</v>
      </c>
      <c r="S9" s="53">
        <v>0.43</v>
      </c>
      <c r="T9" s="115">
        <v>0.28000000000000003</v>
      </c>
      <c r="U9" s="115">
        <v>0.33</v>
      </c>
      <c r="V9" s="50">
        <v>0.20519999999999999</v>
      </c>
      <c r="W9" s="50">
        <v>0.23230000000000001</v>
      </c>
      <c r="X9" s="53">
        <v>0.28000000000000003</v>
      </c>
      <c r="Y9" s="53">
        <v>0.28000000000000003</v>
      </c>
      <c r="Z9" s="50">
        <v>0.19350000000000001</v>
      </c>
      <c r="AA9" s="50">
        <v>0.19670000000000001</v>
      </c>
      <c r="AB9" s="53">
        <v>0.4</v>
      </c>
      <c r="AC9" s="53">
        <v>0.42</v>
      </c>
      <c r="AD9" s="53">
        <v>0.41</v>
      </c>
      <c r="AE9" s="53">
        <v>0.4</v>
      </c>
      <c r="AF9" s="50">
        <v>0.44700000000000001</v>
      </c>
      <c r="AG9" s="50">
        <v>0.45400000000000001</v>
      </c>
      <c r="AH9" s="53">
        <v>0.44</v>
      </c>
      <c r="AI9" s="53">
        <v>0.46</v>
      </c>
      <c r="AJ9" s="58">
        <v>0.57650000000000001</v>
      </c>
      <c r="AK9" s="58">
        <v>0.43659999999999999</v>
      </c>
      <c r="AL9" s="53">
        <v>0.7</v>
      </c>
      <c r="AM9" s="53">
        <v>0.67</v>
      </c>
      <c r="AN9" s="54">
        <v>0.41</v>
      </c>
      <c r="AO9" s="54">
        <v>0.41</v>
      </c>
      <c r="AP9" s="52">
        <v>0.46</v>
      </c>
      <c r="AQ9" s="52">
        <v>0.502</v>
      </c>
      <c r="AR9" s="51">
        <v>0.22</v>
      </c>
      <c r="AS9" s="51">
        <v>0.23</v>
      </c>
      <c r="AT9" s="52">
        <v>0.33200000000000002</v>
      </c>
      <c r="AU9" s="52">
        <v>0.32600000000000001</v>
      </c>
      <c r="AV9" s="50">
        <v>0.17219999999999999</v>
      </c>
      <c r="AW9" s="50">
        <v>0.21510000000000001</v>
      </c>
      <c r="AX9" s="50">
        <v>0.3049</v>
      </c>
      <c r="AY9" s="50">
        <v>0.34570000000000001</v>
      </c>
      <c r="AZ9" s="50">
        <v>0.29220000000000002</v>
      </c>
      <c r="BA9" s="50">
        <v>0.3019</v>
      </c>
      <c r="BB9" s="53">
        <v>0.3</v>
      </c>
      <c r="BC9" s="53">
        <v>0.31</v>
      </c>
      <c r="BD9" s="41">
        <v>18.850000000000001</v>
      </c>
      <c r="BE9" s="41">
        <v>17.96</v>
      </c>
      <c r="BF9" s="27">
        <v>79.22</v>
      </c>
      <c r="BG9" s="27">
        <v>45.86</v>
      </c>
      <c r="BH9" s="50">
        <v>0.25330000000000003</v>
      </c>
      <c r="BI9" s="50">
        <v>0.25330000000000003</v>
      </c>
      <c r="BJ9" s="50">
        <v>0.1605</v>
      </c>
      <c r="BK9" s="50">
        <v>0.19320000000000001</v>
      </c>
    </row>
    <row r="10" spans="1:63" ht="30" x14ac:dyDescent="0.25">
      <c r="A10" s="49" t="s">
        <v>129</v>
      </c>
      <c r="B10" s="50">
        <v>0.59360000000000002</v>
      </c>
      <c r="C10" s="50">
        <v>0.64049999999999996</v>
      </c>
      <c r="D10" s="51">
        <v>0.49</v>
      </c>
      <c r="E10" s="53">
        <v>0.5</v>
      </c>
      <c r="F10" s="50">
        <v>4.3200000000000002E-2</v>
      </c>
      <c r="G10" s="50">
        <v>5.8999999999999997E-2</v>
      </c>
      <c r="H10" s="50">
        <v>0.24349999999999999</v>
      </c>
      <c r="I10" s="50">
        <v>0.254</v>
      </c>
      <c r="J10" s="41">
        <v>0.35</v>
      </c>
      <c r="K10" s="41">
        <v>0.37</v>
      </c>
      <c r="L10" s="50">
        <v>0.39860000000000001</v>
      </c>
      <c r="M10" s="50">
        <v>0.41249999999999998</v>
      </c>
      <c r="N10" s="50">
        <v>0.4279</v>
      </c>
      <c r="O10" s="50">
        <v>0.3861</v>
      </c>
      <c r="P10" s="50">
        <v>0.41560000000000002</v>
      </c>
      <c r="Q10" s="50">
        <v>0.37880000000000003</v>
      </c>
      <c r="R10" s="53">
        <v>0.53</v>
      </c>
      <c r="S10" s="53">
        <v>0.55000000000000004</v>
      </c>
      <c r="T10" s="115">
        <v>0.48</v>
      </c>
      <c r="U10" s="115">
        <v>0.51</v>
      </c>
      <c r="V10" s="50">
        <v>0.22700000000000001</v>
      </c>
      <c r="W10" s="50">
        <v>0.24399999999999999</v>
      </c>
      <c r="X10" s="53">
        <v>0.39</v>
      </c>
      <c r="Y10" s="53">
        <v>0.4</v>
      </c>
      <c r="Z10" s="50">
        <v>0.2223</v>
      </c>
      <c r="AA10" s="50">
        <v>0.2293</v>
      </c>
      <c r="AB10" s="53">
        <v>0.45</v>
      </c>
      <c r="AC10" s="53">
        <v>0.47</v>
      </c>
      <c r="AD10" s="53">
        <v>0.43</v>
      </c>
      <c r="AE10" s="53">
        <v>0.45</v>
      </c>
      <c r="AF10" s="50">
        <v>0.54100000000000004</v>
      </c>
      <c r="AG10" s="50">
        <v>0.54800000000000004</v>
      </c>
      <c r="AH10" s="53">
        <v>0.46</v>
      </c>
      <c r="AI10" s="53">
        <v>0.47</v>
      </c>
      <c r="AJ10" s="58">
        <v>0.70979999999999999</v>
      </c>
      <c r="AK10" s="58">
        <v>0.52010000000000001</v>
      </c>
      <c r="AL10" s="53">
        <v>1.26</v>
      </c>
      <c r="AM10" s="53">
        <v>0.94</v>
      </c>
      <c r="AN10" s="54">
        <v>0.52</v>
      </c>
      <c r="AO10" s="54">
        <v>0.53</v>
      </c>
      <c r="AP10" s="52">
        <v>0.52600000000000002</v>
      </c>
      <c r="AQ10" s="52">
        <v>0.57299999999999995</v>
      </c>
      <c r="AR10" s="51">
        <v>0.26</v>
      </c>
      <c r="AS10" s="51">
        <v>0.28999999999999998</v>
      </c>
      <c r="AT10" s="52">
        <v>0.35199999999999998</v>
      </c>
      <c r="AU10" s="52">
        <v>0.33600000000000002</v>
      </c>
      <c r="AV10" s="50">
        <v>0.27850000000000003</v>
      </c>
      <c r="AW10" s="50">
        <v>0.29070000000000001</v>
      </c>
      <c r="AX10" s="50">
        <v>0.33040000000000003</v>
      </c>
      <c r="AY10" s="50">
        <v>0.37509999999999999</v>
      </c>
      <c r="AZ10" s="50">
        <v>0.29680000000000001</v>
      </c>
      <c r="BA10" s="50">
        <v>0.30669999999999997</v>
      </c>
      <c r="BB10" s="53">
        <v>0.36</v>
      </c>
      <c r="BC10" s="53">
        <v>0.36</v>
      </c>
      <c r="BD10" s="41">
        <v>21.47</v>
      </c>
      <c r="BE10" s="41">
        <v>22.04</v>
      </c>
      <c r="BF10" s="27">
        <v>50.57</v>
      </c>
      <c r="BG10" s="27">
        <v>51.39</v>
      </c>
      <c r="BH10" s="50">
        <v>0.29930000000000001</v>
      </c>
      <c r="BI10" s="50">
        <v>0.29930000000000001</v>
      </c>
      <c r="BJ10" s="50">
        <v>0.17080000000000001</v>
      </c>
      <c r="BK10" s="50">
        <v>0.20849999999999999</v>
      </c>
    </row>
    <row r="11" spans="1:63" ht="15" customHeight="1" x14ac:dyDescent="0.25">
      <c r="A11" s="49" t="s">
        <v>130</v>
      </c>
      <c r="B11" s="50">
        <v>1.0076000000000001</v>
      </c>
      <c r="C11" s="50">
        <v>0.87319999999999998</v>
      </c>
      <c r="D11" s="51">
        <v>0.65</v>
      </c>
      <c r="E11" s="53">
        <v>0.61</v>
      </c>
      <c r="F11" s="50">
        <v>0.94499999999999995</v>
      </c>
      <c r="G11" s="50">
        <v>0.96109999999999995</v>
      </c>
      <c r="H11" s="50">
        <v>0.75470000000000004</v>
      </c>
      <c r="I11" s="50">
        <v>0.76619999999999999</v>
      </c>
      <c r="J11" s="41">
        <v>0.53</v>
      </c>
      <c r="K11" s="41">
        <v>0.55000000000000004</v>
      </c>
      <c r="L11" s="50">
        <v>0.72529999999999994</v>
      </c>
      <c r="M11" s="50">
        <v>0.72289999999999999</v>
      </c>
      <c r="N11" s="50">
        <v>0.71289999999999998</v>
      </c>
      <c r="O11" s="50">
        <v>0.72340000000000004</v>
      </c>
      <c r="P11" s="50">
        <v>-1.1656</v>
      </c>
      <c r="Q11" s="50">
        <v>-0.7722</v>
      </c>
      <c r="R11" s="53">
        <v>0.84</v>
      </c>
      <c r="S11" s="53">
        <v>0.89</v>
      </c>
      <c r="T11" s="115">
        <v>0.72</v>
      </c>
      <c r="U11" s="115">
        <v>0.67</v>
      </c>
      <c r="V11" s="50">
        <v>0.78380000000000005</v>
      </c>
      <c r="W11" s="50">
        <v>0.79149999999999998</v>
      </c>
      <c r="X11" s="53">
        <v>0.73</v>
      </c>
      <c r="Y11" s="53">
        <v>0.73</v>
      </c>
      <c r="Z11" s="50">
        <v>0.85189999999999999</v>
      </c>
      <c r="AA11" s="50">
        <v>0.88009999999999999</v>
      </c>
      <c r="AB11" s="53">
        <v>0.71</v>
      </c>
      <c r="AC11" s="53">
        <v>0.7</v>
      </c>
      <c r="AD11" s="53">
        <v>0.72</v>
      </c>
      <c r="AE11" s="53">
        <v>0.71</v>
      </c>
      <c r="AF11" s="50">
        <v>0.7</v>
      </c>
      <c r="AG11" s="50">
        <v>0.7</v>
      </c>
      <c r="AH11" s="53">
        <v>0.71</v>
      </c>
      <c r="AI11" s="53">
        <v>0.67</v>
      </c>
      <c r="AJ11" s="58">
        <v>0.8639</v>
      </c>
      <c r="AK11" s="58">
        <v>0.91310000000000002</v>
      </c>
      <c r="AL11" s="53">
        <v>0.72</v>
      </c>
      <c r="AM11" s="53">
        <v>0.72</v>
      </c>
      <c r="AN11" s="54">
        <v>0.56999999999999995</v>
      </c>
      <c r="AO11" s="54">
        <v>0.56999999999999995</v>
      </c>
      <c r="AP11" s="52">
        <v>0.75900000000000001</v>
      </c>
      <c r="AQ11" s="52">
        <v>0.80300000000000005</v>
      </c>
      <c r="AR11" s="51">
        <v>0.8</v>
      </c>
      <c r="AS11" s="51">
        <v>0.78</v>
      </c>
      <c r="AT11" s="52">
        <v>0.82199999999999995</v>
      </c>
      <c r="AU11" s="52">
        <v>0.83499999999999996</v>
      </c>
      <c r="AV11" s="50">
        <v>0.84079999999999999</v>
      </c>
      <c r="AW11" s="50">
        <v>0.77110000000000001</v>
      </c>
      <c r="AX11" s="50">
        <v>0.76829999999999998</v>
      </c>
      <c r="AY11" s="50">
        <v>0.76829999999999998</v>
      </c>
      <c r="AZ11" s="50">
        <v>0.68200000000000005</v>
      </c>
      <c r="BA11" s="50">
        <v>0.67259999999999998</v>
      </c>
      <c r="BB11" s="53">
        <v>0.76</v>
      </c>
      <c r="BC11" s="53">
        <v>0.75</v>
      </c>
      <c r="BD11" s="41">
        <v>99.78</v>
      </c>
      <c r="BE11" s="41">
        <v>96.94</v>
      </c>
      <c r="BF11" s="27">
        <v>-146</v>
      </c>
      <c r="BG11" s="27">
        <v>112.56</v>
      </c>
      <c r="BH11" s="50">
        <v>1.0206</v>
      </c>
      <c r="BI11" s="50">
        <v>1.0206</v>
      </c>
      <c r="BJ11" s="50">
        <v>0.74509999999999998</v>
      </c>
      <c r="BK11" s="50">
        <v>0.7097</v>
      </c>
    </row>
    <row r="12" spans="1:63" ht="15" customHeight="1" x14ac:dyDescent="0.25">
      <c r="A12" s="49" t="s">
        <v>264</v>
      </c>
      <c r="B12" s="50">
        <v>0.21579999999999999</v>
      </c>
      <c r="C12" s="50">
        <v>0.2238</v>
      </c>
      <c r="D12" s="51">
        <v>0.67</v>
      </c>
      <c r="E12" s="53">
        <v>0.69</v>
      </c>
      <c r="F12" s="50">
        <v>8.4400000000000003E-2</v>
      </c>
      <c r="G12" s="50">
        <v>0.16420000000000001</v>
      </c>
      <c r="H12" s="50">
        <v>0.1143</v>
      </c>
      <c r="I12" s="50">
        <v>0.17169999999999999</v>
      </c>
      <c r="J12" s="41">
        <v>0.9</v>
      </c>
      <c r="K12" s="41">
        <v>0.9</v>
      </c>
      <c r="L12" s="50">
        <v>0.09</v>
      </c>
      <c r="M12" s="50">
        <v>0.15609999999999999</v>
      </c>
      <c r="N12" s="50">
        <v>5.04E-2</v>
      </c>
      <c r="O12" s="50">
        <v>5.67E-2</v>
      </c>
      <c r="P12" s="50">
        <v>3.0200000000000001E-2</v>
      </c>
      <c r="Q12" s="50">
        <v>4.5100000000000001E-2</v>
      </c>
      <c r="R12" s="53">
        <v>0.33</v>
      </c>
      <c r="S12" s="53">
        <v>0.35</v>
      </c>
      <c r="T12" s="115">
        <v>0.14000000000000001</v>
      </c>
      <c r="U12" s="115">
        <v>0.26</v>
      </c>
      <c r="V12" s="50">
        <v>0.1013</v>
      </c>
      <c r="W12" s="50">
        <v>7.0199999999999999E-2</v>
      </c>
      <c r="X12" s="53">
        <v>0.04</v>
      </c>
      <c r="Y12" s="53">
        <v>0.1</v>
      </c>
      <c r="Z12" s="50">
        <v>0.1343</v>
      </c>
      <c r="AA12" s="50">
        <v>0.13980000000000001</v>
      </c>
      <c r="AB12" s="53">
        <v>7.0000000000000007E-2</v>
      </c>
      <c r="AC12" s="53">
        <v>0.25</v>
      </c>
      <c r="AD12" s="53">
        <v>0.73</v>
      </c>
      <c r="AE12" s="53">
        <v>0.79</v>
      </c>
      <c r="AF12" s="50">
        <v>0.14599999999999999</v>
      </c>
      <c r="AG12" s="50">
        <v>0.20599999999999999</v>
      </c>
      <c r="AH12" s="53">
        <v>0.68</v>
      </c>
      <c r="AI12" s="53">
        <v>0.62</v>
      </c>
      <c r="AJ12" s="57"/>
      <c r="AK12" s="57"/>
      <c r="AL12" s="117">
        <v>0.16</v>
      </c>
      <c r="AM12" s="53">
        <v>0.16</v>
      </c>
      <c r="AN12" s="54">
        <v>0.9</v>
      </c>
      <c r="AO12" s="54">
        <v>0.89</v>
      </c>
      <c r="AP12" s="51">
        <v>5.8000000000000003E-2</v>
      </c>
      <c r="AQ12" s="51">
        <v>7.4999999999999997E-2</v>
      </c>
      <c r="AR12" s="51">
        <v>0.09</v>
      </c>
      <c r="AS12" s="51">
        <v>0.15</v>
      </c>
      <c r="AT12" s="52">
        <v>0.14699999999999999</v>
      </c>
      <c r="AU12" s="52">
        <v>0.20499999999999999</v>
      </c>
      <c r="AV12" s="50">
        <v>8.4599999999999995E-2</v>
      </c>
      <c r="AW12" s="50">
        <v>0.22739999999999999</v>
      </c>
      <c r="AX12" s="50">
        <v>7.5800000000000006E-2</v>
      </c>
      <c r="AY12" s="50">
        <v>0.12520000000000001</v>
      </c>
      <c r="AZ12" s="50">
        <v>9.6100000000000005E-2</v>
      </c>
      <c r="BA12" s="50">
        <v>0.63219999999999998</v>
      </c>
      <c r="BB12" s="53">
        <v>7.0000000000000007E-2</v>
      </c>
      <c r="BC12" s="53">
        <v>0.09</v>
      </c>
      <c r="BD12" s="27"/>
      <c r="BE12" s="27"/>
      <c r="BF12">
        <v>32</v>
      </c>
      <c r="BG12" s="27">
        <v>32</v>
      </c>
      <c r="BH12" s="27"/>
      <c r="BI12" s="27"/>
      <c r="BJ12" s="50">
        <v>0.1195</v>
      </c>
      <c r="BK12" s="50">
        <v>0.21110000000000001</v>
      </c>
    </row>
    <row r="13" spans="1:63" ht="15" customHeight="1" x14ac:dyDescent="0.25">
      <c r="A13" s="49" t="s">
        <v>131</v>
      </c>
      <c r="B13" s="50">
        <v>1.6012</v>
      </c>
      <c r="C13" s="50">
        <v>1.5137</v>
      </c>
      <c r="D13" s="51">
        <v>1.1399999999999999</v>
      </c>
      <c r="E13" s="53">
        <v>1.1100000000000001</v>
      </c>
      <c r="F13" s="50">
        <v>0.98819999999999997</v>
      </c>
      <c r="G13" s="50">
        <v>1.0201</v>
      </c>
      <c r="H13" s="50">
        <v>0.99819999999999998</v>
      </c>
      <c r="I13" s="50">
        <v>1.0203</v>
      </c>
      <c r="J13" s="41">
        <v>0.89</v>
      </c>
      <c r="K13" s="41">
        <v>0.92</v>
      </c>
      <c r="L13" s="50">
        <v>1.1238999999999999</v>
      </c>
      <c r="M13" s="50">
        <v>1.1354</v>
      </c>
      <c r="N13" s="50">
        <v>1.1408</v>
      </c>
      <c r="O13" s="50">
        <v>1.1094999999999999</v>
      </c>
      <c r="P13" s="50">
        <v>-0.78320000000000001</v>
      </c>
      <c r="Q13" s="50">
        <v>-0.42570000000000002</v>
      </c>
      <c r="R13" s="53">
        <v>1.37</v>
      </c>
      <c r="S13" s="53">
        <v>1.44</v>
      </c>
      <c r="T13" s="115">
        <v>1.0900000000000001</v>
      </c>
      <c r="U13" s="115">
        <v>1.0900000000000001</v>
      </c>
      <c r="V13" s="50">
        <v>1.0107999999999999</v>
      </c>
      <c r="W13" s="50">
        <v>1.0355000000000001</v>
      </c>
      <c r="X13" s="50">
        <v>1.0509999999999999</v>
      </c>
      <c r="Y13" s="50">
        <v>1.046</v>
      </c>
      <c r="Z13" s="50">
        <v>1.0742</v>
      </c>
      <c r="AA13" s="50">
        <v>1.1094999999999999</v>
      </c>
      <c r="AB13" s="53">
        <v>1.17</v>
      </c>
      <c r="AC13" s="53">
        <v>1.17</v>
      </c>
      <c r="AD13" s="53">
        <v>1.1499999999999999</v>
      </c>
      <c r="AE13" s="53">
        <v>1.1599999999999999</v>
      </c>
      <c r="AF13" s="50">
        <v>1.2410000000000001</v>
      </c>
      <c r="AG13" s="50">
        <v>1.248</v>
      </c>
      <c r="AH13" s="53">
        <v>1.17</v>
      </c>
      <c r="AI13" s="53">
        <v>1.1399999999999999</v>
      </c>
      <c r="AJ13" s="58">
        <v>1.5737000000000001</v>
      </c>
      <c r="AK13" s="58">
        <v>1.4332</v>
      </c>
      <c r="AL13" s="53">
        <v>1.99</v>
      </c>
      <c r="AM13" s="53">
        <v>1.66</v>
      </c>
      <c r="AN13" s="54">
        <v>0.98</v>
      </c>
      <c r="AO13" s="54">
        <v>0.98</v>
      </c>
      <c r="AP13" s="52">
        <v>1.286</v>
      </c>
      <c r="AQ13" s="52">
        <v>1.377</v>
      </c>
      <c r="AR13" s="51">
        <v>1.06</v>
      </c>
      <c r="AS13" s="51">
        <v>1.07</v>
      </c>
      <c r="AT13" s="52">
        <v>1.1739999999999999</v>
      </c>
      <c r="AU13" s="52">
        <v>1.171</v>
      </c>
      <c r="AV13" s="50">
        <v>1.1193</v>
      </c>
      <c r="AW13" s="50">
        <v>1.0618000000000001</v>
      </c>
      <c r="AX13" s="50">
        <v>1.0767</v>
      </c>
      <c r="AY13" s="50">
        <v>1.1376999999999999</v>
      </c>
      <c r="AZ13" s="50">
        <v>0.9788</v>
      </c>
      <c r="BA13" s="50">
        <v>0.97929999999999995</v>
      </c>
      <c r="BB13" s="53">
        <v>1.1200000000000001</v>
      </c>
      <c r="BC13" s="53">
        <v>1.1100000000000001</v>
      </c>
      <c r="BD13" s="41">
        <v>121.25</v>
      </c>
      <c r="BE13" s="41">
        <v>117.06</v>
      </c>
      <c r="BF13" s="27">
        <v>-87.96</v>
      </c>
      <c r="BG13" s="41">
        <v>163.13</v>
      </c>
      <c r="BH13" s="50">
        <v>1.3073999999999999</v>
      </c>
      <c r="BI13" s="50">
        <v>1.3073999999999999</v>
      </c>
      <c r="BJ13" s="50">
        <v>0.91600000000000004</v>
      </c>
      <c r="BK13" s="50">
        <v>0.91820000000000002</v>
      </c>
    </row>
    <row r="14" spans="1:63" ht="15" customHeight="1" x14ac:dyDescent="0.25">
      <c r="A14" s="49" t="s">
        <v>265</v>
      </c>
      <c r="B14" s="50">
        <v>6.93E-2</v>
      </c>
      <c r="C14" s="50">
        <v>6.4399999999999999E-2</v>
      </c>
      <c r="D14" s="51">
        <v>0.02</v>
      </c>
      <c r="E14" s="53">
        <v>0.03</v>
      </c>
      <c r="F14" s="50">
        <v>1.54E-2</v>
      </c>
      <c r="G14" s="50">
        <v>3.0499999999999999E-2</v>
      </c>
      <c r="H14" s="50">
        <v>1.9099999999999999E-2</v>
      </c>
      <c r="I14" s="50">
        <v>4.4299999999999999E-2</v>
      </c>
      <c r="J14" s="41">
        <v>0.02</v>
      </c>
      <c r="K14" s="41">
        <v>0.03</v>
      </c>
      <c r="L14" s="50">
        <v>1.77E-2</v>
      </c>
      <c r="M14" s="50">
        <v>3.3799999999999997E-2</v>
      </c>
      <c r="N14" s="50">
        <v>1.6E-2</v>
      </c>
      <c r="O14" s="50">
        <v>3.0700000000000002E-2</v>
      </c>
      <c r="P14" s="53">
        <v>7.4499999999999997E-2</v>
      </c>
      <c r="Q14" s="53">
        <v>7.1199999999999999E-2</v>
      </c>
      <c r="R14" s="53">
        <v>2.2200000000000001E-2</v>
      </c>
      <c r="S14" s="53">
        <v>3.6600000000000001E-2</v>
      </c>
      <c r="T14" s="52">
        <v>4.1000000000000003E-3</v>
      </c>
      <c r="U14" s="52">
        <v>7.9000000000000008E-3</v>
      </c>
      <c r="V14" s="50">
        <v>1.8499999999999999E-2</v>
      </c>
      <c r="W14" s="50">
        <v>3.56E-2</v>
      </c>
      <c r="X14" s="53">
        <v>0.02</v>
      </c>
      <c r="Y14" s="53">
        <v>0.04</v>
      </c>
      <c r="Z14" s="50">
        <v>1.6299999999999999E-2</v>
      </c>
      <c r="AA14" s="50">
        <v>3.1600000000000003E-2</v>
      </c>
      <c r="AB14" s="50">
        <v>7.1999999999999995E-2</v>
      </c>
      <c r="AC14" s="50">
        <v>6.3700000000000007E-2</v>
      </c>
      <c r="AD14" s="50">
        <v>6.8400000000000002E-2</v>
      </c>
      <c r="AE14" s="50">
        <v>6.9699999999999998E-2</v>
      </c>
      <c r="AF14" s="50">
        <v>1.6E-2</v>
      </c>
      <c r="AG14" s="50">
        <v>3.2000000000000001E-2</v>
      </c>
      <c r="AH14" s="53">
        <v>1.5699999999999999E-2</v>
      </c>
      <c r="AI14" s="53">
        <v>3.0599999999999999E-2</v>
      </c>
      <c r="AJ14" s="58">
        <v>2.41E-2</v>
      </c>
      <c r="AK14" s="58">
        <v>4.48E-2</v>
      </c>
      <c r="AL14" s="53">
        <v>0.01</v>
      </c>
      <c r="AM14" s="53">
        <v>0.03</v>
      </c>
      <c r="AN14" s="54">
        <v>0.02</v>
      </c>
      <c r="AO14" s="54">
        <v>0.03</v>
      </c>
      <c r="AP14" s="52">
        <v>1.4999999999999999E-2</v>
      </c>
      <c r="AQ14" s="52">
        <v>0.03</v>
      </c>
      <c r="AR14" s="51">
        <v>0.02</v>
      </c>
      <c r="AS14" s="51">
        <v>0.04</v>
      </c>
      <c r="AT14" s="52">
        <v>1.7899999999999999E-2</v>
      </c>
      <c r="AU14" s="52">
        <v>3.9100000000000003E-2</v>
      </c>
      <c r="AV14" s="50">
        <v>1.9300000000000001E-2</v>
      </c>
      <c r="AW14" s="50">
        <v>3.7900000000000003E-2</v>
      </c>
      <c r="AX14" s="50">
        <v>1.9199999999999998E-2</v>
      </c>
      <c r="AY14" s="50">
        <v>3.2399999999999998E-2</v>
      </c>
      <c r="AZ14" s="50">
        <v>1.78E-2</v>
      </c>
      <c r="BA14" s="50">
        <v>3.5299999999999998E-2</v>
      </c>
      <c r="BB14" s="53">
        <v>0.02</v>
      </c>
      <c r="BC14" s="53">
        <v>0.05</v>
      </c>
      <c r="BD14" s="27"/>
      <c r="BE14" s="27"/>
      <c r="BF14">
        <v>3.95</v>
      </c>
      <c r="BG14" s="41">
        <v>3.95</v>
      </c>
      <c r="BH14" s="50">
        <v>0.1055</v>
      </c>
      <c r="BI14" s="50">
        <v>9.2299999999999993E-2</v>
      </c>
      <c r="BJ14" s="50">
        <v>6.4500000000000002E-2</v>
      </c>
      <c r="BK14" s="50">
        <v>6.4500000000000002E-2</v>
      </c>
    </row>
    <row r="15" spans="1:63" ht="15" customHeight="1" x14ac:dyDescent="0.25">
      <c r="A15" s="49" t="s">
        <v>132</v>
      </c>
      <c r="B15" s="27">
        <v>2.68</v>
      </c>
      <c r="C15" s="41">
        <v>1.47</v>
      </c>
      <c r="D15" s="55">
        <v>2.0299999999999998</v>
      </c>
      <c r="E15" s="55">
        <v>1.02</v>
      </c>
      <c r="F15" s="41">
        <v>0.83</v>
      </c>
      <c r="G15" s="41">
        <v>2.77</v>
      </c>
      <c r="H15" s="27">
        <v>7.63</v>
      </c>
      <c r="I15" s="27">
        <v>4.05</v>
      </c>
      <c r="J15" s="41">
        <v>2.2400000000000002</v>
      </c>
      <c r="K15" s="41">
        <v>1.21</v>
      </c>
      <c r="L15" s="27">
        <v>9.24</v>
      </c>
      <c r="M15" s="27">
        <v>5</v>
      </c>
      <c r="N15" s="41">
        <v>2.86</v>
      </c>
      <c r="O15" s="41">
        <v>2.86</v>
      </c>
      <c r="P15" s="87">
        <v>16.73</v>
      </c>
      <c r="Q15" s="87">
        <v>16.73</v>
      </c>
      <c r="R15" s="53">
        <v>3.97</v>
      </c>
      <c r="S15" s="51">
        <v>2.37</v>
      </c>
      <c r="T15" s="41">
        <v>6.99</v>
      </c>
      <c r="U15" s="41">
        <v>3.39</v>
      </c>
      <c r="V15" s="50">
        <v>5.17</v>
      </c>
      <c r="W15" s="50">
        <v>3.11</v>
      </c>
      <c r="X15" s="27">
        <v>9.4</v>
      </c>
      <c r="Y15" s="27">
        <v>4.8</v>
      </c>
      <c r="Z15" s="50"/>
      <c r="AA15" s="41">
        <v>3.4</v>
      </c>
      <c r="AB15" s="27">
        <v>5.15</v>
      </c>
      <c r="AC15" s="27">
        <v>2.83</v>
      </c>
      <c r="AD15" s="27">
        <v>5.45</v>
      </c>
      <c r="AE15" s="27">
        <v>2.93</v>
      </c>
      <c r="AF15" s="41">
        <v>6.79</v>
      </c>
      <c r="AG15" s="41">
        <v>3.6</v>
      </c>
      <c r="AH15" s="54">
        <v>2.23</v>
      </c>
      <c r="AI15" s="54">
        <v>1.1599999999999999</v>
      </c>
      <c r="AJ15" s="56">
        <v>7.04</v>
      </c>
      <c r="AK15" s="56">
        <v>4.03</v>
      </c>
      <c r="AL15" s="41">
        <v>36.72</v>
      </c>
      <c r="AM15" s="41">
        <v>12.12</v>
      </c>
      <c r="AN15" s="57" t="s">
        <v>320</v>
      </c>
      <c r="AO15" s="57" t="s">
        <v>325</v>
      </c>
      <c r="AP15" s="41">
        <v>5.56</v>
      </c>
      <c r="AQ15" s="41">
        <v>3.05</v>
      </c>
      <c r="AR15" s="55">
        <v>6.9</v>
      </c>
      <c r="AS15" s="55">
        <v>3.94</v>
      </c>
      <c r="AT15" s="41">
        <v>4.97</v>
      </c>
      <c r="AU15" s="41">
        <v>4.97</v>
      </c>
      <c r="AV15" s="27">
        <v>5.34</v>
      </c>
      <c r="AW15" s="27">
        <v>3.12</v>
      </c>
      <c r="AX15" s="50">
        <v>15.9763</v>
      </c>
      <c r="AY15" s="50">
        <v>9.5161999999999995</v>
      </c>
      <c r="AZ15" s="50">
        <v>2.2991999999999999</v>
      </c>
      <c r="BA15" s="50">
        <v>1.298</v>
      </c>
      <c r="BB15" s="27">
        <v>6.68</v>
      </c>
      <c r="BC15" s="27">
        <v>3.55</v>
      </c>
      <c r="BD15" s="41">
        <v>6.57</v>
      </c>
      <c r="BE15" s="41">
        <v>3.08</v>
      </c>
      <c r="BF15" s="41">
        <v>0.23</v>
      </c>
      <c r="BG15" s="27">
        <v>3.46</v>
      </c>
      <c r="BH15" s="53">
        <v>4.4000000000000004</v>
      </c>
      <c r="BI15" s="50">
        <v>4.4000000000000004</v>
      </c>
      <c r="BJ15" s="41">
        <v>1.59</v>
      </c>
      <c r="BK15" s="41">
        <v>2.1800000000000002</v>
      </c>
    </row>
    <row r="16" spans="1:63" x14ac:dyDescent="0.25">
      <c r="A16" s="49" t="s">
        <v>133</v>
      </c>
      <c r="B16" s="27">
        <v>-0.86</v>
      </c>
      <c r="C16" s="41">
        <v>-0.82</v>
      </c>
      <c r="D16" s="55">
        <v>-0.25</v>
      </c>
      <c r="E16" s="55">
        <v>-0.24</v>
      </c>
      <c r="F16" s="41">
        <v>-0.01</v>
      </c>
      <c r="G16" s="41">
        <v>0.02</v>
      </c>
      <c r="H16" s="27">
        <v>-0.01</v>
      </c>
      <c r="I16" s="27">
        <v>-0.02</v>
      </c>
      <c r="J16" s="55">
        <v>0.05</v>
      </c>
      <c r="K16" s="41">
        <v>0</v>
      </c>
      <c r="L16" s="10">
        <v>-0.17</v>
      </c>
      <c r="M16" s="41">
        <v>-0.16</v>
      </c>
      <c r="N16" s="52">
        <v>-0.17</v>
      </c>
      <c r="O16" s="50">
        <v>-0.14000000000000001</v>
      </c>
      <c r="P16" s="88">
        <v>1.8949</v>
      </c>
      <c r="Q16" s="88">
        <v>1.6423000000000001</v>
      </c>
      <c r="R16" s="53">
        <v>-0.63</v>
      </c>
      <c r="S16" s="51">
        <v>-0.61</v>
      </c>
      <c r="T16" s="55">
        <v>-0.06</v>
      </c>
      <c r="U16" s="55">
        <v>-0.08</v>
      </c>
      <c r="V16" s="41">
        <v>-0.05</v>
      </c>
      <c r="W16" s="41">
        <v>-0.06</v>
      </c>
      <c r="X16" s="53">
        <v>-0.04</v>
      </c>
      <c r="Y16" s="53">
        <v>-0.05</v>
      </c>
      <c r="Z16" s="50">
        <v>-0.11700000000000001</v>
      </c>
      <c r="AA16" s="50">
        <v>-0.126</v>
      </c>
      <c r="AB16" s="41">
        <v>-0.25</v>
      </c>
      <c r="AC16" s="41">
        <v>-0.25</v>
      </c>
      <c r="AD16" s="41">
        <v>-0.2</v>
      </c>
      <c r="AE16" s="41">
        <v>-0.2</v>
      </c>
      <c r="AF16" s="41">
        <v>-0.4</v>
      </c>
      <c r="AG16" s="41">
        <v>-0.42</v>
      </c>
      <c r="AH16" s="57">
        <v>-0.24</v>
      </c>
      <c r="AI16" s="57">
        <v>-0.21</v>
      </c>
      <c r="AJ16" s="56">
        <v>-0.59</v>
      </c>
      <c r="AK16" s="56">
        <v>-0.44</v>
      </c>
      <c r="AL16" s="27">
        <v>-0.09</v>
      </c>
      <c r="AM16" s="27">
        <v>-0.15</v>
      </c>
      <c r="AN16" s="58" t="s">
        <v>321</v>
      </c>
      <c r="AO16" s="57" t="s">
        <v>326</v>
      </c>
      <c r="AP16" s="41">
        <v>-0.44</v>
      </c>
      <c r="AQ16" s="41">
        <v>-0.51</v>
      </c>
      <c r="AR16" s="55">
        <v>-0.1</v>
      </c>
      <c r="AS16" s="55">
        <v>-0.09</v>
      </c>
      <c r="AT16" s="41">
        <v>-0.21</v>
      </c>
      <c r="AU16" s="41">
        <v>-0.18</v>
      </c>
      <c r="AV16" s="27">
        <v>-0.19</v>
      </c>
      <c r="AW16" s="27">
        <v>-0.11</v>
      </c>
      <c r="AX16" s="50">
        <v>-0.1573</v>
      </c>
      <c r="AY16" s="50">
        <v>-0.17080000000000001</v>
      </c>
      <c r="AZ16" s="50">
        <v>-4.7000000000000002E-3</v>
      </c>
      <c r="BA16" s="50">
        <v>2.6200000000000001E-2</v>
      </c>
      <c r="BB16" s="27">
        <v>-0.12</v>
      </c>
      <c r="BC16" s="27">
        <v>-0.11</v>
      </c>
      <c r="BD16" s="41">
        <v>-20.62</v>
      </c>
      <c r="BE16" s="41">
        <v>-0.18</v>
      </c>
      <c r="BF16" s="41">
        <v>-170.11</v>
      </c>
      <c r="BG16" s="27">
        <v>-0.71</v>
      </c>
      <c r="BH16" s="50">
        <v>-0.33119999999999999</v>
      </c>
      <c r="BI16" s="50">
        <v>-0.33119999999999999</v>
      </c>
      <c r="BJ16" s="41">
        <v>0</v>
      </c>
      <c r="BK16" s="41">
        <v>0</v>
      </c>
    </row>
    <row r="17" spans="1:63" x14ac:dyDescent="0.25">
      <c r="A17" s="49" t="s">
        <v>134</v>
      </c>
      <c r="B17" s="50">
        <v>-0.78390000000000004</v>
      </c>
      <c r="C17" s="50">
        <v>-0.75029999999999997</v>
      </c>
      <c r="D17" s="51">
        <v>-0.19</v>
      </c>
      <c r="E17" s="53">
        <v>-0.18</v>
      </c>
      <c r="F17" s="50">
        <v>5.1999999999999998E-2</v>
      </c>
      <c r="G17" s="50">
        <v>0.10290000000000001</v>
      </c>
      <c r="H17" s="50">
        <v>0.1555</v>
      </c>
      <c r="I17" s="50">
        <v>0.1827</v>
      </c>
      <c r="J17" s="41">
        <v>0.09</v>
      </c>
      <c r="K17" s="41">
        <v>0.04</v>
      </c>
      <c r="L17" s="50">
        <v>0.1351</v>
      </c>
      <c r="M17" s="50">
        <v>0.12379999999999999</v>
      </c>
      <c r="N17" s="50">
        <v>-4.87E-2</v>
      </c>
      <c r="O17" s="50">
        <v>-2.64E-2</v>
      </c>
      <c r="P17" s="87">
        <v>2.5323000000000002</v>
      </c>
      <c r="Q17" s="87">
        <v>2.3197999999999999</v>
      </c>
      <c r="R17" s="53">
        <v>-0.52</v>
      </c>
      <c r="S17" s="53">
        <v>-0.52</v>
      </c>
      <c r="T17" s="115">
        <v>7.0000000000000007E-2</v>
      </c>
      <c r="U17" s="115">
        <v>0.05</v>
      </c>
      <c r="V17" s="50">
        <v>8.3500000000000005E-2</v>
      </c>
      <c r="W17" s="50">
        <v>8.5000000000000006E-2</v>
      </c>
      <c r="X17" s="53">
        <v>0.13</v>
      </c>
      <c r="Y17" s="53">
        <v>0.11</v>
      </c>
      <c r="Z17" s="50">
        <v>-4.4000000000000003E-3</v>
      </c>
      <c r="AA17" s="50">
        <v>-1.4999999999999999E-2</v>
      </c>
      <c r="AB17" s="51">
        <v>-0.13</v>
      </c>
      <c r="AC17" s="53">
        <v>-0.14000000000000001</v>
      </c>
      <c r="AD17" s="53">
        <v>-0.08</v>
      </c>
      <c r="AE17" s="53">
        <v>-7.0000000000000007E-2</v>
      </c>
      <c r="AF17" s="50">
        <v>-4.3999999999999997E-2</v>
      </c>
      <c r="AG17" s="50">
        <v>-8.4000000000000005E-2</v>
      </c>
      <c r="AH17" s="54">
        <v>-0.19</v>
      </c>
      <c r="AI17" s="53">
        <v>-0.17</v>
      </c>
      <c r="AJ17" s="58">
        <v>-0.39040000000000002</v>
      </c>
      <c r="AK17" s="58">
        <v>-0.2394</v>
      </c>
      <c r="AL17" s="53">
        <v>0.13</v>
      </c>
      <c r="AM17" s="53">
        <v>0.06</v>
      </c>
      <c r="AN17" s="54">
        <v>0.12</v>
      </c>
      <c r="AO17" s="54">
        <v>0.1</v>
      </c>
      <c r="AP17" s="52">
        <v>-0.19400000000000001</v>
      </c>
      <c r="AQ17" s="52">
        <v>-0.20799999999999999</v>
      </c>
      <c r="AR17" s="51">
        <v>0.05</v>
      </c>
      <c r="AS17" s="51">
        <v>0.11</v>
      </c>
      <c r="AT17" s="52">
        <v>-2.9000000000000001E-2</v>
      </c>
      <c r="AU17" s="52">
        <v>1.4E-2</v>
      </c>
      <c r="AV17" s="50">
        <v>-6.3899999999999998E-2</v>
      </c>
      <c r="AW17" s="50">
        <v>2.0299999999999999E-2</v>
      </c>
      <c r="AX17" s="50">
        <v>0.19470000000000001</v>
      </c>
      <c r="AY17" s="50">
        <v>0.1951</v>
      </c>
      <c r="AZ17" s="50">
        <v>3.9399999999999998E-2</v>
      </c>
      <c r="BA17" s="50">
        <v>7.0900000000000005E-2</v>
      </c>
      <c r="BB17" s="53">
        <v>0.03</v>
      </c>
      <c r="BC17" s="53">
        <v>0.08</v>
      </c>
      <c r="BD17" s="41">
        <v>20.74</v>
      </c>
      <c r="BE17" s="41">
        <v>9.5399999999999991</v>
      </c>
      <c r="BF17" s="27">
        <v>-2725.43</v>
      </c>
      <c r="BG17" s="27">
        <v>-50.37</v>
      </c>
      <c r="BH17" s="50">
        <v>-0.11020000000000001</v>
      </c>
      <c r="BI17" s="50">
        <v>-0.11020000000000001</v>
      </c>
      <c r="BJ17" s="50">
        <v>8.2799999999999999E-2</v>
      </c>
      <c r="BK17" s="50">
        <v>9.2999999999999999E-2</v>
      </c>
    </row>
    <row r="18" spans="1:63" x14ac:dyDescent="0.25">
      <c r="A18" s="49" t="s">
        <v>135</v>
      </c>
      <c r="B18" s="27">
        <v>0.35</v>
      </c>
      <c r="C18" s="41">
        <v>0.35</v>
      </c>
      <c r="D18" s="55">
        <v>0.16</v>
      </c>
      <c r="E18" s="55">
        <v>0.16</v>
      </c>
      <c r="F18" s="41">
        <v>0.52</v>
      </c>
      <c r="G18" s="41">
        <v>0.3</v>
      </c>
      <c r="H18" s="27">
        <v>0.28000000000000003</v>
      </c>
      <c r="I18" s="27">
        <v>0.28000000000000003</v>
      </c>
      <c r="J18" s="41">
        <v>0.24</v>
      </c>
      <c r="K18" s="41">
        <v>0.24</v>
      </c>
      <c r="L18" s="41">
        <v>0.09</v>
      </c>
      <c r="M18" s="27">
        <v>0.09</v>
      </c>
      <c r="N18" s="52">
        <v>0.2782</v>
      </c>
      <c r="O18" s="52">
        <v>0.2782</v>
      </c>
      <c r="P18" s="27">
        <v>1.67</v>
      </c>
      <c r="Q18" s="27">
        <v>0.34</v>
      </c>
      <c r="R18" s="53">
        <v>0.38</v>
      </c>
      <c r="S18" s="50">
        <v>0.38</v>
      </c>
      <c r="T18" s="53">
        <v>0.03</v>
      </c>
      <c r="U18" s="53">
        <v>0.03</v>
      </c>
      <c r="V18" s="41">
        <v>0.24</v>
      </c>
      <c r="W18" s="41">
        <v>0.24</v>
      </c>
      <c r="X18" s="27">
        <v>0.1</v>
      </c>
      <c r="Y18" s="27">
        <v>0.1</v>
      </c>
      <c r="Z18" s="50"/>
      <c r="AA18" s="41">
        <v>0.32</v>
      </c>
      <c r="AB18" s="41">
        <v>0.1</v>
      </c>
      <c r="AC18" s="41">
        <v>0.1</v>
      </c>
      <c r="AD18" s="27">
        <v>0.11</v>
      </c>
      <c r="AE18" s="27">
        <v>0.11</v>
      </c>
      <c r="AF18" s="41">
        <v>0.11</v>
      </c>
      <c r="AG18" s="41">
        <v>0.11</v>
      </c>
      <c r="AH18" s="54">
        <v>0.32</v>
      </c>
      <c r="AI18" s="54">
        <v>0.32</v>
      </c>
      <c r="AJ18" s="56">
        <v>0.25</v>
      </c>
      <c r="AK18" s="56">
        <v>0.25</v>
      </c>
      <c r="AL18" s="22">
        <v>0.66</v>
      </c>
      <c r="AM18" s="27">
        <v>0.66</v>
      </c>
      <c r="AN18" s="58" t="s">
        <v>322</v>
      </c>
      <c r="AO18" s="57" t="s">
        <v>322</v>
      </c>
      <c r="AP18" s="41">
        <v>0.12</v>
      </c>
      <c r="AQ18" s="41">
        <v>0.12</v>
      </c>
      <c r="AR18" s="55">
        <v>0.17</v>
      </c>
      <c r="AS18" s="55">
        <v>0.17</v>
      </c>
      <c r="AT18" s="41">
        <v>0.28000000000000003</v>
      </c>
      <c r="AU18" s="41">
        <v>0.28000000000000003</v>
      </c>
      <c r="AV18" s="27">
        <v>0.12</v>
      </c>
      <c r="AW18" s="27">
        <v>0.12</v>
      </c>
      <c r="AX18" s="50">
        <v>5.4100000000000002E-2</v>
      </c>
      <c r="AY18" s="50">
        <v>5.4100000000000002E-2</v>
      </c>
      <c r="AZ18" s="50">
        <v>0.2732</v>
      </c>
      <c r="BA18" s="50">
        <v>0.2732</v>
      </c>
      <c r="BB18" s="27">
        <v>0.13</v>
      </c>
      <c r="BC18" s="27">
        <v>0.13</v>
      </c>
      <c r="BD18" s="41">
        <v>0.35</v>
      </c>
      <c r="BE18" s="41">
        <v>0.35</v>
      </c>
      <c r="BF18" s="27">
        <v>0.19</v>
      </c>
      <c r="BG18" s="27">
        <v>0.19</v>
      </c>
      <c r="BH18" s="27">
        <v>0.12</v>
      </c>
      <c r="BI18" s="27">
        <v>0.12</v>
      </c>
      <c r="BJ18" s="55">
        <v>0.3</v>
      </c>
      <c r="BK18" s="55">
        <v>0.3</v>
      </c>
    </row>
    <row r="19" spans="1:63" x14ac:dyDescent="0.25">
      <c r="A19" s="49" t="s">
        <v>136</v>
      </c>
      <c r="B19" s="50">
        <v>-0.47870000000000001</v>
      </c>
      <c r="C19" s="50">
        <v>-0.45219999999999999</v>
      </c>
      <c r="D19" s="51">
        <v>-0.15</v>
      </c>
      <c r="E19" s="53">
        <v>-0.14000000000000001</v>
      </c>
      <c r="F19" s="50">
        <v>4.0500000000000001E-2</v>
      </c>
      <c r="G19" s="50">
        <v>9.64E-2</v>
      </c>
      <c r="H19" s="50">
        <v>0.1542</v>
      </c>
      <c r="I19" s="50">
        <v>0.1898</v>
      </c>
      <c r="J19" s="41">
        <v>0.08</v>
      </c>
      <c r="K19" s="41">
        <v>0.04</v>
      </c>
      <c r="L19" s="50">
        <v>3.1800000000000002E-2</v>
      </c>
      <c r="M19" s="50">
        <v>3.5999999999999997E-2</v>
      </c>
      <c r="N19" s="50">
        <v>-2.9600000000000001E-2</v>
      </c>
      <c r="O19" s="50">
        <v>-6.3E-3</v>
      </c>
      <c r="P19" s="50">
        <v>2.3927</v>
      </c>
      <c r="Q19" s="50">
        <v>2.1450999999999998</v>
      </c>
      <c r="R19" s="53">
        <v>-0.48</v>
      </c>
      <c r="S19" s="53">
        <v>-0.49</v>
      </c>
      <c r="T19" s="115">
        <v>7.0000000000000007E-2</v>
      </c>
      <c r="U19" s="115">
        <v>0.05</v>
      </c>
      <c r="V19" s="50">
        <v>7.0499999999999993E-2</v>
      </c>
      <c r="W19" s="50">
        <v>7.6899999999999996E-2</v>
      </c>
      <c r="X19" s="53">
        <v>0.15</v>
      </c>
      <c r="Y19" s="53">
        <v>0.13</v>
      </c>
      <c r="Z19" s="50">
        <v>2.35E-2</v>
      </c>
      <c r="AA19" s="50">
        <v>1.67E-2</v>
      </c>
      <c r="AB19" s="53">
        <v>-0.08</v>
      </c>
      <c r="AC19" s="53">
        <v>-0.1</v>
      </c>
      <c r="AD19" s="53">
        <v>-0.04</v>
      </c>
      <c r="AE19" s="53">
        <v>-0.03</v>
      </c>
      <c r="AF19" s="50">
        <v>-0.16200000000000001</v>
      </c>
      <c r="AG19" s="50">
        <v>-0.17399999999999999</v>
      </c>
      <c r="AH19" s="54">
        <v>-0.16</v>
      </c>
      <c r="AI19" s="53">
        <v>-0.14000000000000001</v>
      </c>
      <c r="AJ19" s="58">
        <v>-0.39290000000000003</v>
      </c>
      <c r="AK19" s="58">
        <v>-0.27129999999999999</v>
      </c>
      <c r="AL19" s="53">
        <v>0.6</v>
      </c>
      <c r="AM19" s="53">
        <v>0.36</v>
      </c>
      <c r="AN19" s="58">
        <v>0</v>
      </c>
      <c r="AO19" s="58">
        <v>4.1999999999999997E-3</v>
      </c>
      <c r="AP19" s="52">
        <v>-0.248</v>
      </c>
      <c r="AQ19" s="12">
        <v>-0.30299999999999999</v>
      </c>
      <c r="AR19" s="51">
        <v>0.04</v>
      </c>
      <c r="AS19" s="114">
        <v>4.9000000000000002E-2</v>
      </c>
      <c r="AT19" s="52">
        <v>5.0000000000000001E-3</v>
      </c>
      <c r="AU19" s="52">
        <v>3.9E-2</v>
      </c>
      <c r="AV19" s="50">
        <v>-1.54E-2</v>
      </c>
      <c r="AW19" s="50">
        <v>4.4499999999999998E-2</v>
      </c>
      <c r="AX19" s="50">
        <v>0.1396</v>
      </c>
      <c r="AY19" s="50">
        <v>0.16139999999999999</v>
      </c>
      <c r="AZ19" s="50">
        <v>3.0599999999999999E-2</v>
      </c>
      <c r="BA19" s="50">
        <v>5.6899999999999999E-2</v>
      </c>
      <c r="BB19" s="53">
        <v>0.04</v>
      </c>
      <c r="BC19" s="53">
        <v>0.09</v>
      </c>
      <c r="BD19" s="41">
        <v>0.47</v>
      </c>
      <c r="BE19" s="41">
        <v>1</v>
      </c>
      <c r="BF19" s="27">
        <v>-49.96</v>
      </c>
      <c r="BG19" s="27">
        <v>-49.06</v>
      </c>
      <c r="BH19" s="50">
        <v>-9.3799999999999994E-2</v>
      </c>
      <c r="BI19" s="50">
        <v>-9.3799999999999994E-2</v>
      </c>
      <c r="BJ19" s="50">
        <v>5.4399999999999997E-2</v>
      </c>
      <c r="BK19" s="50">
        <v>6.3200000000000006E-2</v>
      </c>
    </row>
    <row r="20" spans="1:63" x14ac:dyDescent="0.25">
      <c r="A20" s="49" t="s">
        <v>137</v>
      </c>
      <c r="B20" s="50">
        <v>-0.13100000000000001</v>
      </c>
      <c r="C20" s="50">
        <v>-0.22589999999999999</v>
      </c>
      <c r="D20" s="51">
        <v>-0.12</v>
      </c>
      <c r="E20" s="53">
        <v>-0.23</v>
      </c>
      <c r="F20" s="50">
        <v>2.8400000000000002E-2</v>
      </c>
      <c r="G20" s="50">
        <v>6.8699999999999997E-2</v>
      </c>
      <c r="H20" s="50">
        <v>3.7400000000000003E-2</v>
      </c>
      <c r="I20" s="50">
        <v>8.3099999999999993E-2</v>
      </c>
      <c r="J20" s="41">
        <v>0.06</v>
      </c>
      <c r="K20" s="41">
        <v>0.06</v>
      </c>
      <c r="L20" s="50">
        <v>1.7100000000000001E-2</v>
      </c>
      <c r="M20" s="50">
        <v>3.5900000000000001E-2</v>
      </c>
      <c r="N20" s="50">
        <v>-1.7399999999999999E-2</v>
      </c>
      <c r="O20" s="50">
        <v>-7.1999999999999998E-3</v>
      </c>
      <c r="P20" s="50">
        <v>0.10929999999999999</v>
      </c>
      <c r="Q20" s="50">
        <v>0.10929999999999999</v>
      </c>
      <c r="R20" s="53">
        <v>-0.26</v>
      </c>
      <c r="S20" s="53">
        <v>-0.5</v>
      </c>
      <c r="T20" s="115">
        <v>0.03</v>
      </c>
      <c r="U20" s="115">
        <v>0.05</v>
      </c>
      <c r="V20" s="50">
        <v>5.0099999999999999E-2</v>
      </c>
      <c r="W20" s="50">
        <v>9.0899999999999995E-2</v>
      </c>
      <c r="X20" s="53">
        <v>0.06</v>
      </c>
      <c r="Y20" s="53">
        <v>0.1</v>
      </c>
      <c r="Z20" s="50"/>
      <c r="AA20" s="50">
        <v>1.43E-2</v>
      </c>
      <c r="AB20" s="53">
        <v>-0.05</v>
      </c>
      <c r="AC20" s="53">
        <v>-0.1</v>
      </c>
      <c r="AD20" s="53">
        <v>-0.02</v>
      </c>
      <c r="AE20" s="53">
        <v>-0.03</v>
      </c>
      <c r="AF20" s="50">
        <v>-0.105</v>
      </c>
      <c r="AG20" s="50">
        <v>-0.214</v>
      </c>
      <c r="AH20" s="54">
        <v>-0.19</v>
      </c>
      <c r="AI20" s="53">
        <v>-0.33</v>
      </c>
      <c r="AJ20" s="58">
        <v>-1.3853</v>
      </c>
      <c r="AK20" s="58">
        <v>-1.6713</v>
      </c>
      <c r="AL20" s="53">
        <v>0.03</v>
      </c>
      <c r="AM20" s="53">
        <v>0.05</v>
      </c>
      <c r="AN20" s="54">
        <v>0</v>
      </c>
      <c r="AO20" s="58">
        <v>8.5000000000000006E-3</v>
      </c>
      <c r="AP20" s="52">
        <v>-0.16600000000000001</v>
      </c>
      <c r="AQ20" s="52">
        <v>-0.37</v>
      </c>
      <c r="AR20" s="51">
        <v>0.03</v>
      </c>
      <c r="AS20" s="114">
        <v>6.3E-2</v>
      </c>
      <c r="AT20" s="52">
        <v>2E-3</v>
      </c>
      <c r="AU20" s="52">
        <v>3.2000000000000001E-2</v>
      </c>
      <c r="AV20" s="50">
        <v>-7.7999999999999996E-3</v>
      </c>
      <c r="AW20" s="50">
        <v>3.8699999999999998E-2</v>
      </c>
      <c r="AX20" s="50">
        <v>6.4000000000000001E-2</v>
      </c>
      <c r="AY20" s="50">
        <v>6.4000000000000001E-2</v>
      </c>
      <c r="AZ20" s="50">
        <v>1.9099999999999999E-2</v>
      </c>
      <c r="BA20" s="50">
        <v>6.2799999999999995E-2</v>
      </c>
      <c r="BB20" s="53">
        <v>0.02</v>
      </c>
      <c r="BC20" s="53">
        <v>0.1</v>
      </c>
      <c r="BD20" s="41">
        <v>0.18</v>
      </c>
      <c r="BE20" s="41">
        <v>0.82</v>
      </c>
      <c r="BF20" s="27">
        <v>-102.17</v>
      </c>
      <c r="BG20" s="27">
        <v>-123.08</v>
      </c>
      <c r="BH20" s="50">
        <v>-0.49830000000000002</v>
      </c>
      <c r="BI20" s="50">
        <v>-0.49830000000000002</v>
      </c>
      <c r="BJ20" s="50">
        <v>3.6499999999999998E-2</v>
      </c>
      <c r="BK20" s="50">
        <v>7.1999999999999995E-2</v>
      </c>
    </row>
    <row r="21" spans="1:63" ht="30" x14ac:dyDescent="0.25">
      <c r="A21" s="49" t="s">
        <v>138</v>
      </c>
      <c r="B21" s="27">
        <v>4.55</v>
      </c>
      <c r="C21" s="27">
        <v>4.55</v>
      </c>
      <c r="D21" s="27">
        <v>1.67</v>
      </c>
      <c r="E21" s="27">
        <v>1.67</v>
      </c>
      <c r="F21" s="41">
        <v>2.34</v>
      </c>
      <c r="G21" s="41">
        <v>2.34</v>
      </c>
      <c r="H21" s="27">
        <v>3.62</v>
      </c>
      <c r="I21" s="27">
        <v>3.62</v>
      </c>
      <c r="J21" s="41">
        <v>1.97</v>
      </c>
      <c r="K21" s="41">
        <v>1.97</v>
      </c>
      <c r="L21" s="27">
        <v>2.13</v>
      </c>
      <c r="M21" s="27">
        <v>2.13</v>
      </c>
      <c r="N21" s="41">
        <v>2</v>
      </c>
      <c r="O21" s="41">
        <v>2</v>
      </c>
      <c r="P21" s="27"/>
      <c r="Q21" s="27">
        <v>40.200000000000003</v>
      </c>
      <c r="R21" s="27">
        <v>1.65</v>
      </c>
      <c r="S21" s="41">
        <v>1.65</v>
      </c>
      <c r="T21" s="27">
        <v>1.75</v>
      </c>
      <c r="U21" s="27">
        <v>1.75</v>
      </c>
      <c r="V21" s="41">
        <v>1.78</v>
      </c>
      <c r="W21" s="41">
        <v>1.78</v>
      </c>
      <c r="X21" s="27">
        <v>2.4700000000000002</v>
      </c>
      <c r="Y21" s="27">
        <v>2.4700000000000002</v>
      </c>
      <c r="Z21" s="50"/>
      <c r="AA21" s="41">
        <v>1.77</v>
      </c>
      <c r="AB21" s="27">
        <v>2.14</v>
      </c>
      <c r="AC21" s="27">
        <v>2.14</v>
      </c>
      <c r="AD21" s="27">
        <v>2.44</v>
      </c>
      <c r="AE21" s="27">
        <v>2.44</v>
      </c>
      <c r="AF21" s="41">
        <v>2.19</v>
      </c>
      <c r="AG21" s="41">
        <v>2.19</v>
      </c>
      <c r="AH21" s="54">
        <v>1.56</v>
      </c>
      <c r="AI21" s="54">
        <v>1.56</v>
      </c>
      <c r="AJ21" s="56"/>
      <c r="AK21" s="56">
        <v>0.24</v>
      </c>
      <c r="AL21" s="27">
        <v>2.6</v>
      </c>
      <c r="AM21" s="27">
        <v>2.6</v>
      </c>
      <c r="AN21" s="57" t="s">
        <v>323</v>
      </c>
      <c r="AO21" s="57" t="s">
        <v>323</v>
      </c>
      <c r="AP21" s="27">
        <v>1.82</v>
      </c>
      <c r="AQ21" s="27">
        <v>1.82</v>
      </c>
      <c r="AR21" s="41">
        <v>1.58</v>
      </c>
      <c r="AS21" s="41">
        <v>1.58</v>
      </c>
      <c r="AT21" s="41">
        <v>2.09</v>
      </c>
      <c r="AU21" s="41">
        <v>2.09</v>
      </c>
      <c r="AV21" s="27">
        <v>1.91</v>
      </c>
      <c r="AW21" s="27">
        <v>1.91</v>
      </c>
      <c r="AX21" s="27">
        <v>4.5999999999999996</v>
      </c>
      <c r="AY21" s="27">
        <v>4.5999999999999996</v>
      </c>
      <c r="AZ21" s="27">
        <v>1.95</v>
      </c>
      <c r="BA21" s="27">
        <v>1.95</v>
      </c>
      <c r="BB21" s="27">
        <v>1.98</v>
      </c>
      <c r="BC21" s="27">
        <v>1.98</v>
      </c>
      <c r="BD21" s="27">
        <v>1.77</v>
      </c>
      <c r="BE21" s="27">
        <v>1.77</v>
      </c>
      <c r="BF21" s="27"/>
      <c r="BG21" s="27">
        <v>-0.76</v>
      </c>
      <c r="BH21" s="27">
        <v>0.35</v>
      </c>
      <c r="BI21" s="27">
        <v>0.35</v>
      </c>
      <c r="BJ21" s="27">
        <v>1.7</v>
      </c>
      <c r="BK21" s="27">
        <v>1.7</v>
      </c>
    </row>
  </sheetData>
  <mergeCells count="31">
    <mergeCell ref="V2:W2"/>
    <mergeCell ref="L2:M2"/>
    <mergeCell ref="N2:O2"/>
    <mergeCell ref="P2:Q2"/>
    <mergeCell ref="R2:S2"/>
    <mergeCell ref="T2:U2"/>
    <mergeCell ref="J2:K2"/>
    <mergeCell ref="B2:C2"/>
    <mergeCell ref="D2:E2"/>
    <mergeCell ref="F2:G2"/>
    <mergeCell ref="H2:I2"/>
    <mergeCell ref="X2:Y2"/>
    <mergeCell ref="Z2:AA2"/>
    <mergeCell ref="AB2:AC2"/>
    <mergeCell ref="AD2:AE2"/>
    <mergeCell ref="AH2:AI2"/>
    <mergeCell ref="AF2:AG2"/>
    <mergeCell ref="AJ2:AK2"/>
    <mergeCell ref="AL2:AM2"/>
    <mergeCell ref="AN2:AO2"/>
    <mergeCell ref="AP2:AQ2"/>
    <mergeCell ref="BF2:BG2"/>
    <mergeCell ref="AR2:AS2"/>
    <mergeCell ref="AT2:AU2"/>
    <mergeCell ref="AV2:AW2"/>
    <mergeCell ref="BH2:BI2"/>
    <mergeCell ref="BJ2:BK2"/>
    <mergeCell ref="BD2:BE2"/>
    <mergeCell ref="AX2:AY2"/>
    <mergeCell ref="AZ2:BA2"/>
    <mergeCell ref="BB2:B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3" customWidth="1"/>
    <col min="2" max="16" width="16" style="3" customWidth="1"/>
    <col min="17" max="17" width="19.5703125" style="3" customWidth="1"/>
    <col min="18" max="32" width="16" style="3" customWidth="1"/>
    <col min="33" max="16384" width="9.140625" style="3"/>
  </cols>
  <sheetData>
    <row r="1" spans="1:33" ht="18.75" x14ac:dyDescent="0.3">
      <c r="A1" s="5" t="s">
        <v>301</v>
      </c>
    </row>
    <row r="2" spans="1:33" x14ac:dyDescent="0.25">
      <c r="A2" s="3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</row>
    <row r="4" spans="1:33" ht="15" customHeight="1" x14ac:dyDescent="0.25">
      <c r="A4" s="36" t="s">
        <v>99</v>
      </c>
      <c r="B4" s="24">
        <v>100437</v>
      </c>
      <c r="C4" s="24">
        <v>178758</v>
      </c>
      <c r="D4" s="24">
        <v>2499299</v>
      </c>
      <c r="E4" s="24">
        <v>1974377</v>
      </c>
      <c r="F4" s="24">
        <v>294580</v>
      </c>
      <c r="G4" s="83">
        <v>1221867.1000000001</v>
      </c>
      <c r="H4" s="24">
        <v>1064342</v>
      </c>
      <c r="I4" s="83">
        <v>801526.84</v>
      </c>
      <c r="J4" s="24">
        <v>66678</v>
      </c>
      <c r="K4" s="24">
        <v>510922</v>
      </c>
      <c r="L4" s="24">
        <v>1807556</v>
      </c>
      <c r="M4" s="24">
        <v>4266137</v>
      </c>
      <c r="N4" s="83">
        <v>1216765</v>
      </c>
      <c r="O4" s="24">
        <v>115903</v>
      </c>
      <c r="P4" s="24">
        <v>278939</v>
      </c>
      <c r="Q4" s="24">
        <v>390710</v>
      </c>
      <c r="R4" s="24">
        <v>76910</v>
      </c>
      <c r="S4" s="24">
        <v>3583023</v>
      </c>
      <c r="T4" s="24">
        <v>46114</v>
      </c>
      <c r="U4" s="24">
        <v>176212</v>
      </c>
      <c r="V4" s="24">
        <v>76224</v>
      </c>
      <c r="W4" s="24">
        <v>1532576</v>
      </c>
      <c r="X4" s="24">
        <v>652262</v>
      </c>
      <c r="Y4" s="24">
        <v>1112727</v>
      </c>
      <c r="Z4" s="24">
        <v>973625</v>
      </c>
      <c r="AA4" s="24">
        <v>766382</v>
      </c>
      <c r="AB4" s="24">
        <v>1801715</v>
      </c>
      <c r="AC4" s="24">
        <v>5262687</v>
      </c>
      <c r="AD4" s="24">
        <v>3188725</v>
      </c>
      <c r="AE4" s="24">
        <v>3801244</v>
      </c>
      <c r="AF4" s="24">
        <v>413640</v>
      </c>
    </row>
    <row r="5" spans="1:33" ht="15" customHeight="1" x14ac:dyDescent="0.25">
      <c r="A5" s="36" t="s">
        <v>100</v>
      </c>
      <c r="B5" s="24"/>
      <c r="C5" s="24"/>
      <c r="D5" s="24"/>
      <c r="E5" s="24"/>
      <c r="F5" s="24"/>
      <c r="G5" s="83"/>
      <c r="H5" s="24"/>
      <c r="I5" s="83"/>
      <c r="J5" s="24"/>
      <c r="K5" s="24"/>
      <c r="L5" s="24"/>
      <c r="M5" s="24"/>
      <c r="N5" s="83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3" ht="15" customHeight="1" x14ac:dyDescent="0.25">
      <c r="A6" s="36" t="s">
        <v>102</v>
      </c>
      <c r="B6" s="24">
        <v>78722</v>
      </c>
      <c r="C6" s="24">
        <v>106731</v>
      </c>
      <c r="D6" s="24">
        <v>1056917</v>
      </c>
      <c r="E6" s="24">
        <v>1595750</v>
      </c>
      <c r="F6" s="24">
        <v>259731</v>
      </c>
      <c r="G6" s="83">
        <v>751358.7</v>
      </c>
      <c r="H6" s="24">
        <v>747730</v>
      </c>
      <c r="I6" s="83">
        <v>724186.64</v>
      </c>
      <c r="J6" s="24">
        <v>43821</v>
      </c>
      <c r="K6" s="24">
        <v>70386</v>
      </c>
      <c r="L6" s="24">
        <v>1297584</v>
      </c>
      <c r="M6" s="24">
        <v>3498054</v>
      </c>
      <c r="N6" s="83">
        <v>794863</v>
      </c>
      <c r="O6" s="24">
        <v>103663</v>
      </c>
      <c r="P6" s="24">
        <v>228413</v>
      </c>
      <c r="Q6" s="24">
        <v>302307</v>
      </c>
      <c r="R6" s="24">
        <v>65861</v>
      </c>
      <c r="S6" s="24">
        <v>2908875</v>
      </c>
      <c r="T6" s="24">
        <v>31995</v>
      </c>
      <c r="U6" s="24">
        <v>30806</v>
      </c>
      <c r="V6" s="24">
        <v>50257</v>
      </c>
      <c r="W6" s="24">
        <v>1245470</v>
      </c>
      <c r="X6" s="24">
        <v>598197</v>
      </c>
      <c r="Y6" s="24">
        <v>1055713</v>
      </c>
      <c r="Z6" s="24">
        <v>768894</v>
      </c>
      <c r="AA6" s="24">
        <v>51498</v>
      </c>
      <c r="AB6" s="24">
        <v>1425491</v>
      </c>
      <c r="AC6" s="24">
        <v>4664719</v>
      </c>
      <c r="AD6" s="24">
        <v>1833941</v>
      </c>
      <c r="AE6" s="24">
        <v>2532920</v>
      </c>
      <c r="AF6" s="24">
        <v>294270</v>
      </c>
    </row>
    <row r="7" spans="1:33" ht="15" customHeight="1" x14ac:dyDescent="0.25">
      <c r="A7" s="36" t="s">
        <v>103</v>
      </c>
      <c r="B7" s="24"/>
      <c r="C7" s="24">
        <v>2942</v>
      </c>
      <c r="D7" s="24">
        <v>71059</v>
      </c>
      <c r="E7" s="24"/>
      <c r="F7" s="24"/>
      <c r="G7" s="83">
        <v>262419.59999999998</v>
      </c>
      <c r="H7" s="24">
        <v>1489</v>
      </c>
      <c r="I7" s="83">
        <v>35770.519999999997</v>
      </c>
      <c r="J7" s="24">
        <v>850</v>
      </c>
      <c r="K7" s="24">
        <v>429068</v>
      </c>
      <c r="L7" s="24"/>
      <c r="M7" s="24">
        <v>4341</v>
      </c>
      <c r="N7" s="83">
        <v>308769</v>
      </c>
      <c r="O7" s="24"/>
      <c r="P7" s="24"/>
      <c r="Q7" s="24">
        <v>88403</v>
      </c>
      <c r="R7" s="24">
        <v>9171</v>
      </c>
      <c r="S7" s="24">
        <v>706054</v>
      </c>
      <c r="T7" s="24"/>
      <c r="U7" s="24">
        <v>127568</v>
      </c>
      <c r="V7" s="24">
        <v>22057</v>
      </c>
      <c r="W7" s="24"/>
      <c r="X7" s="24"/>
      <c r="Y7" s="24"/>
      <c r="Z7" s="24">
        <v>100562</v>
      </c>
      <c r="AA7" s="24">
        <v>698700</v>
      </c>
      <c r="AB7" s="24"/>
      <c r="AC7" s="24"/>
      <c r="AD7" s="24">
        <v>697696</v>
      </c>
      <c r="AE7" s="24">
        <v>742330</v>
      </c>
      <c r="AF7" s="24"/>
    </row>
    <row r="8" spans="1:33" ht="30" customHeight="1" x14ac:dyDescent="0.25">
      <c r="A8" s="36" t="s">
        <v>101</v>
      </c>
      <c r="B8" s="24">
        <v>21715</v>
      </c>
      <c r="C8" s="24">
        <v>52154</v>
      </c>
      <c r="D8" s="24">
        <v>1241524</v>
      </c>
      <c r="E8" s="24">
        <v>368703</v>
      </c>
      <c r="F8" s="24">
        <v>23308</v>
      </c>
      <c r="G8" s="83">
        <v>193034.1</v>
      </c>
      <c r="H8" s="24">
        <v>228429</v>
      </c>
      <c r="I8" s="83"/>
      <c r="J8" s="24">
        <v>20503</v>
      </c>
      <c r="K8" s="24"/>
      <c r="L8" s="24">
        <v>509972</v>
      </c>
      <c r="M8" s="24">
        <v>759861</v>
      </c>
      <c r="N8" s="83">
        <v>113133</v>
      </c>
      <c r="O8" s="24">
        <v>19</v>
      </c>
      <c r="P8" s="24">
        <v>50494</v>
      </c>
      <c r="Q8" s="24"/>
      <c r="R8" s="24"/>
      <c r="S8" s="24">
        <v>17900</v>
      </c>
      <c r="T8" s="24">
        <v>8709</v>
      </c>
      <c r="U8" s="24">
        <v>17838</v>
      </c>
      <c r="V8" s="24">
        <v>25</v>
      </c>
      <c r="W8" s="24">
        <v>287106</v>
      </c>
      <c r="X8" s="24">
        <v>68504</v>
      </c>
      <c r="Y8" s="24"/>
      <c r="Z8" s="24">
        <v>32701</v>
      </c>
      <c r="AA8" s="24"/>
      <c r="AB8" s="24">
        <v>376224</v>
      </c>
      <c r="AC8" s="24">
        <v>370223</v>
      </c>
      <c r="AD8" s="24">
        <v>122596</v>
      </c>
      <c r="AE8" s="24">
        <v>511131</v>
      </c>
      <c r="AF8" s="24">
        <v>117262</v>
      </c>
    </row>
    <row r="9" spans="1:33" s="9" customFormat="1" ht="15" customHeight="1" x14ac:dyDescent="0.25">
      <c r="A9" s="45" t="s">
        <v>104</v>
      </c>
      <c r="B9" s="25"/>
      <c r="C9" s="25">
        <v>16929</v>
      </c>
      <c r="D9" s="25">
        <v>129799</v>
      </c>
      <c r="E9" s="25">
        <v>9924</v>
      </c>
      <c r="F9" s="25">
        <v>11540</v>
      </c>
      <c r="G9" s="84">
        <v>15054.7</v>
      </c>
      <c r="H9" s="25">
        <v>86694</v>
      </c>
      <c r="I9" s="84">
        <v>41569.68</v>
      </c>
      <c r="J9" s="25">
        <v>1504</v>
      </c>
      <c r="K9" s="25">
        <v>11468</v>
      </c>
      <c r="L9" s="25"/>
      <c r="M9" s="25">
        <v>3881</v>
      </c>
      <c r="N9" s="84"/>
      <c r="O9" s="25">
        <v>12221</v>
      </c>
      <c r="P9" s="25">
        <v>31</v>
      </c>
      <c r="Q9" s="25"/>
      <c r="R9" s="25">
        <v>1878</v>
      </c>
      <c r="S9" s="25">
        <v>-49806</v>
      </c>
      <c r="T9" s="25">
        <v>5410</v>
      </c>
      <c r="U9" s="25"/>
      <c r="V9" s="25">
        <v>3885</v>
      </c>
      <c r="W9" s="25"/>
      <c r="X9" s="25">
        <v>-14439</v>
      </c>
      <c r="Y9" s="25">
        <v>57013</v>
      </c>
      <c r="Z9" s="25">
        <v>71467</v>
      </c>
      <c r="AA9" s="25">
        <v>16184</v>
      </c>
      <c r="AB9" s="25"/>
      <c r="AC9" s="25">
        <v>227746</v>
      </c>
      <c r="AD9" s="25">
        <v>534492</v>
      </c>
      <c r="AE9" s="25">
        <v>14864</v>
      </c>
      <c r="AF9" s="25">
        <v>2108</v>
      </c>
    </row>
    <row r="10" spans="1:33" ht="15" customHeight="1" x14ac:dyDescent="0.25">
      <c r="A10" s="36" t="s">
        <v>105</v>
      </c>
      <c r="B10" s="24">
        <v>121809</v>
      </c>
      <c r="C10" s="24">
        <v>43537</v>
      </c>
      <c r="D10" s="24">
        <v>392059</v>
      </c>
      <c r="E10" s="24">
        <v>917505</v>
      </c>
      <c r="F10" s="24">
        <v>181338</v>
      </c>
      <c r="G10" s="83">
        <v>209071.2</v>
      </c>
      <c r="H10" s="24">
        <v>137660</v>
      </c>
      <c r="I10" s="83">
        <v>775579.97</v>
      </c>
      <c r="J10" s="24">
        <v>12540</v>
      </c>
      <c r="K10" s="24">
        <v>135377</v>
      </c>
      <c r="L10" s="24">
        <v>468129</v>
      </c>
      <c r="M10" s="24">
        <v>887754</v>
      </c>
      <c r="N10" s="83">
        <v>499097</v>
      </c>
      <c r="O10" s="24">
        <v>47813</v>
      </c>
      <c r="P10" s="24">
        <v>98975</v>
      </c>
      <c r="Q10" s="24">
        <v>97863</v>
      </c>
      <c r="R10" s="24">
        <v>44323</v>
      </c>
      <c r="S10" s="24">
        <v>142120</v>
      </c>
      <c r="T10" s="24">
        <v>14191</v>
      </c>
      <c r="U10" s="24">
        <v>146025</v>
      </c>
      <c r="V10" s="24">
        <v>16496</v>
      </c>
      <c r="W10" s="24">
        <v>335070</v>
      </c>
      <c r="X10" s="24">
        <v>160768</v>
      </c>
      <c r="Y10" s="24">
        <v>269926</v>
      </c>
      <c r="Z10" s="24">
        <v>157458</v>
      </c>
      <c r="AA10" s="24">
        <v>497495</v>
      </c>
      <c r="AB10" s="24">
        <v>454929</v>
      </c>
      <c r="AC10" s="24">
        <v>1941890</v>
      </c>
      <c r="AD10" s="24">
        <v>-390370</v>
      </c>
      <c r="AE10" s="24">
        <v>169968</v>
      </c>
      <c r="AF10" s="24">
        <v>116071</v>
      </c>
    </row>
    <row r="11" spans="1:33" ht="30" customHeight="1" x14ac:dyDescent="0.25">
      <c r="A11" s="36" t="s">
        <v>106</v>
      </c>
      <c r="B11" s="24">
        <v>15032</v>
      </c>
      <c r="C11" s="24"/>
      <c r="D11" s="24">
        <v>16521</v>
      </c>
      <c r="E11" s="24">
        <v>91144</v>
      </c>
      <c r="F11" s="24">
        <v>39936</v>
      </c>
      <c r="G11" s="83">
        <v>42287.199999999997</v>
      </c>
      <c r="H11" s="24"/>
      <c r="I11" s="83">
        <v>35770.519999999997</v>
      </c>
      <c r="J11" s="24">
        <v>745</v>
      </c>
      <c r="K11" s="24">
        <v>31780</v>
      </c>
      <c r="L11" s="24">
        <v>90270</v>
      </c>
      <c r="M11" s="24">
        <v>39382</v>
      </c>
      <c r="N11" s="83">
        <v>178304</v>
      </c>
      <c r="O11" s="24">
        <v>26515</v>
      </c>
      <c r="P11" s="24">
        <v>20516</v>
      </c>
      <c r="Q11" s="24">
        <v>21951</v>
      </c>
      <c r="R11" s="24">
        <v>12370</v>
      </c>
      <c r="S11" s="24"/>
      <c r="T11" s="24">
        <v>6611</v>
      </c>
      <c r="U11" s="24">
        <v>73443</v>
      </c>
      <c r="V11" s="24">
        <v>4236</v>
      </c>
      <c r="W11" s="24">
        <v>101023</v>
      </c>
      <c r="X11" s="24">
        <v>17428</v>
      </c>
      <c r="Y11" s="24">
        <v>36297</v>
      </c>
      <c r="Z11" s="24">
        <v>24569</v>
      </c>
      <c r="AA11" s="24">
        <v>37803</v>
      </c>
      <c r="AB11" s="24">
        <v>71298</v>
      </c>
      <c r="AC11" s="24">
        <v>615889</v>
      </c>
      <c r="AD11" s="24">
        <v>477532</v>
      </c>
      <c r="AE11" s="24">
        <v>22855</v>
      </c>
      <c r="AF11" s="24">
        <v>12993</v>
      </c>
    </row>
    <row r="12" spans="1:33" s="9" customFormat="1" x14ac:dyDescent="0.25">
      <c r="A12" s="45" t="s">
        <v>107</v>
      </c>
      <c r="B12" s="25">
        <v>106776</v>
      </c>
      <c r="C12" s="25">
        <v>43537</v>
      </c>
      <c r="D12" s="25">
        <v>375538</v>
      </c>
      <c r="E12" s="25">
        <v>826361</v>
      </c>
      <c r="F12" s="25">
        <v>141402</v>
      </c>
      <c r="G12" s="84">
        <v>166784</v>
      </c>
      <c r="H12" s="25">
        <v>137660</v>
      </c>
      <c r="I12" s="84">
        <v>739809.45</v>
      </c>
      <c r="J12" s="25">
        <v>11795</v>
      </c>
      <c r="K12" s="25">
        <v>103597</v>
      </c>
      <c r="L12" s="25">
        <v>377859</v>
      </c>
      <c r="M12" s="25">
        <v>848372</v>
      </c>
      <c r="N12" s="84">
        <v>320793</v>
      </c>
      <c r="O12" s="25">
        <v>21298</v>
      </c>
      <c r="P12" s="25">
        <v>78459</v>
      </c>
      <c r="Q12" s="25">
        <v>75913</v>
      </c>
      <c r="R12" s="25">
        <v>31953</v>
      </c>
      <c r="S12" s="25">
        <v>142120</v>
      </c>
      <c r="T12" s="25">
        <v>7580</v>
      </c>
      <c r="U12" s="25">
        <v>72582</v>
      </c>
      <c r="V12" s="25">
        <v>12259</v>
      </c>
      <c r="W12" s="25">
        <v>234047</v>
      </c>
      <c r="X12" s="25">
        <v>143339</v>
      </c>
      <c r="Y12" s="25">
        <v>233629</v>
      </c>
      <c r="Z12" s="25">
        <v>132889</v>
      </c>
      <c r="AA12" s="25">
        <v>459692</v>
      </c>
      <c r="AB12" s="25">
        <v>383631</v>
      </c>
      <c r="AC12" s="25">
        <v>1326001</v>
      </c>
      <c r="AD12" s="25">
        <v>-867902</v>
      </c>
      <c r="AE12" s="25">
        <v>147113</v>
      </c>
      <c r="AF12" s="25">
        <v>103077</v>
      </c>
    </row>
    <row r="13" spans="1:33" s="4" customFormat="1" ht="15" customHeight="1" x14ac:dyDescent="0.25">
      <c r="A13" s="38" t="s">
        <v>108</v>
      </c>
      <c r="B13" s="38">
        <v>106776</v>
      </c>
      <c r="C13" s="38">
        <v>60466</v>
      </c>
      <c r="D13" s="38">
        <v>505337</v>
      </c>
      <c r="E13" s="38">
        <v>836285</v>
      </c>
      <c r="F13" s="38">
        <v>152943</v>
      </c>
      <c r="G13" s="38">
        <v>181838.7</v>
      </c>
      <c r="H13" s="38">
        <v>224354</v>
      </c>
      <c r="I13" s="38">
        <v>781379.13</v>
      </c>
      <c r="J13" s="38">
        <v>13299</v>
      </c>
      <c r="K13" s="38">
        <v>115065</v>
      </c>
      <c r="L13" s="38">
        <v>377859</v>
      </c>
      <c r="M13" s="38">
        <v>852253</v>
      </c>
      <c r="N13" s="38">
        <v>320793</v>
      </c>
      <c r="O13" s="38">
        <v>33519</v>
      </c>
      <c r="P13" s="38">
        <v>78490</v>
      </c>
      <c r="Q13" s="38">
        <v>75913</v>
      </c>
      <c r="R13" s="38">
        <v>33831</v>
      </c>
      <c r="S13" s="38">
        <v>92314</v>
      </c>
      <c r="T13" s="38">
        <v>12990</v>
      </c>
      <c r="U13" s="38">
        <v>90420</v>
      </c>
      <c r="V13" s="38">
        <v>16145</v>
      </c>
      <c r="W13" s="38">
        <v>234047</v>
      </c>
      <c r="X13" s="38">
        <v>128900</v>
      </c>
      <c r="Y13" s="38">
        <v>290642</v>
      </c>
      <c r="Z13" s="38">
        <v>204356</v>
      </c>
      <c r="AA13" s="38">
        <v>475875</v>
      </c>
      <c r="AB13" s="38">
        <v>383631</v>
      </c>
      <c r="AC13" s="38">
        <v>1553746</v>
      </c>
      <c r="AD13" s="38">
        <v>-333410</v>
      </c>
      <c r="AE13" s="38">
        <v>161977</v>
      </c>
      <c r="AF13" s="38">
        <v>105185</v>
      </c>
    </row>
    <row r="14" spans="1:33" s="4" customFormat="1" ht="14.25" customHeight="1" x14ac:dyDescent="0.25">
      <c r="A14" s="38" t="s">
        <v>109</v>
      </c>
      <c r="B14" s="38">
        <v>23488</v>
      </c>
      <c r="C14" s="38">
        <v>36188</v>
      </c>
      <c r="D14" s="38">
        <v>215503</v>
      </c>
      <c r="E14" s="38">
        <v>231293</v>
      </c>
      <c r="F14" s="38">
        <v>77546</v>
      </c>
      <c r="G14" s="38">
        <v>85354.4</v>
      </c>
      <c r="H14" s="38">
        <v>112273</v>
      </c>
      <c r="I14" s="38">
        <v>19435.419999999998</v>
      </c>
      <c r="J14" s="38">
        <v>8047</v>
      </c>
      <c r="K14" s="38">
        <v>65785</v>
      </c>
      <c r="L14" s="38">
        <v>212006</v>
      </c>
      <c r="M14" s="38">
        <v>345475</v>
      </c>
      <c r="N14" s="38">
        <v>181568</v>
      </c>
      <c r="O14" s="38">
        <v>15673</v>
      </c>
      <c r="P14" s="38">
        <v>32157</v>
      </c>
      <c r="Q14" s="38">
        <v>34594</v>
      </c>
      <c r="R14" s="38">
        <v>21711</v>
      </c>
      <c r="S14" s="38">
        <v>385811</v>
      </c>
      <c r="T14" s="38">
        <v>5000</v>
      </c>
      <c r="U14" s="38">
        <v>51014</v>
      </c>
      <c r="V14" s="38">
        <v>8877</v>
      </c>
      <c r="W14" s="38">
        <v>148267</v>
      </c>
      <c r="X14" s="38">
        <v>61545</v>
      </c>
      <c r="Y14" s="38">
        <v>152004</v>
      </c>
      <c r="Z14" s="38">
        <v>44411</v>
      </c>
      <c r="AA14" s="38">
        <v>243484</v>
      </c>
      <c r="AB14" s="38">
        <v>194012</v>
      </c>
      <c r="AC14" s="38">
        <v>876077</v>
      </c>
      <c r="AD14" s="38">
        <v>440561</v>
      </c>
      <c r="AE14" s="38">
        <v>456490</v>
      </c>
      <c r="AF14" s="38">
        <v>61735</v>
      </c>
    </row>
    <row r="15" spans="1:33" s="21" customFormat="1" ht="14.25" customHeight="1" x14ac:dyDescent="0.25">
      <c r="A15" s="85" t="s">
        <v>110</v>
      </c>
      <c r="B15" s="85">
        <v>4.55</v>
      </c>
      <c r="C15" s="85">
        <v>1.67</v>
      </c>
      <c r="D15" s="85">
        <v>2.34</v>
      </c>
      <c r="E15" s="85">
        <v>3.62</v>
      </c>
      <c r="F15" s="85">
        <v>1.97</v>
      </c>
      <c r="G15" s="85">
        <v>2.13</v>
      </c>
      <c r="H15" s="85">
        <v>2</v>
      </c>
      <c r="I15" s="85">
        <v>40.200000000000003</v>
      </c>
      <c r="J15" s="85">
        <v>1.65</v>
      </c>
      <c r="K15" s="85">
        <v>1.75</v>
      </c>
      <c r="L15" s="85">
        <v>1.782</v>
      </c>
      <c r="M15" s="85">
        <v>2.4700000000000002</v>
      </c>
      <c r="N15" s="85">
        <v>1.77</v>
      </c>
      <c r="O15" s="85">
        <v>2.14</v>
      </c>
      <c r="P15" s="85">
        <v>2.44</v>
      </c>
      <c r="Q15" s="85">
        <v>2.19</v>
      </c>
      <c r="R15" s="85">
        <v>1.56</v>
      </c>
      <c r="S15" s="85">
        <v>0.24</v>
      </c>
      <c r="T15" s="85">
        <v>2.6</v>
      </c>
      <c r="U15" s="85">
        <v>1.77</v>
      </c>
      <c r="V15" s="85">
        <v>1.82</v>
      </c>
      <c r="W15" s="85">
        <v>1.58</v>
      </c>
      <c r="X15" s="85">
        <v>2.09</v>
      </c>
      <c r="Y15" s="85">
        <v>1.91</v>
      </c>
      <c r="Z15" s="85">
        <v>4.5999999999999996</v>
      </c>
      <c r="AA15" s="85">
        <v>1.95</v>
      </c>
      <c r="AB15" s="85">
        <v>1.98</v>
      </c>
      <c r="AC15" s="85">
        <v>1.77</v>
      </c>
      <c r="AD15" s="85">
        <v>-0.76</v>
      </c>
      <c r="AE15" s="85">
        <v>0.35</v>
      </c>
      <c r="AF15" s="85">
        <v>1.7</v>
      </c>
    </row>
    <row r="16" spans="1:33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Z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10" bestFit="1" customWidth="1"/>
    <col min="2" max="2" width="12.85546875" style="3" customWidth="1"/>
    <col min="3" max="5" width="12.85546875" style="10" customWidth="1"/>
    <col min="6" max="6" width="12.85546875" style="12" customWidth="1"/>
    <col min="7" max="7" width="12.85546875" style="3" customWidth="1"/>
    <col min="8" max="10" width="12.85546875" style="10" customWidth="1"/>
    <col min="11" max="11" width="12.85546875" style="12" customWidth="1"/>
    <col min="12" max="12" width="12.85546875" style="3" customWidth="1"/>
    <col min="13" max="16" width="12.85546875" style="10" customWidth="1"/>
    <col min="17" max="17" width="12.85546875" style="3" customWidth="1"/>
    <col min="18" max="20" width="12.85546875" style="10" customWidth="1"/>
    <col min="21" max="21" width="12.85546875" style="12" customWidth="1"/>
    <col min="22" max="22" width="12.85546875" style="3" customWidth="1"/>
    <col min="23" max="25" width="12.85546875" style="10" customWidth="1"/>
    <col min="26" max="26" width="12.85546875" style="12" customWidth="1"/>
    <col min="27" max="27" width="12.85546875" style="3" customWidth="1"/>
    <col min="28" max="30" width="12.85546875" style="10" customWidth="1"/>
    <col min="31" max="31" width="12.85546875" style="12" customWidth="1"/>
    <col min="32" max="35" width="12.85546875" style="10" customWidth="1"/>
    <col min="36" max="36" width="12.85546875" style="12" customWidth="1"/>
    <col min="37" max="37" width="12.85546875" style="3" customWidth="1"/>
    <col min="38" max="40" width="12.85546875" style="10" customWidth="1"/>
    <col min="41" max="41" width="12.85546875" style="12" customWidth="1"/>
    <col min="42" max="42" width="12.85546875" style="3" customWidth="1"/>
    <col min="43" max="45" width="12.85546875" style="10" customWidth="1"/>
    <col min="46" max="46" width="12.85546875" style="12" customWidth="1"/>
    <col min="47" max="47" width="12.85546875" style="3" customWidth="1"/>
    <col min="48" max="50" width="12.85546875" style="10" customWidth="1"/>
    <col min="51" max="51" width="12.85546875" style="12" customWidth="1"/>
    <col min="52" max="52" width="12.85546875" style="3" customWidth="1"/>
    <col min="53" max="55" width="12.85546875" style="10" customWidth="1"/>
    <col min="56" max="56" width="12.85546875" style="12" customWidth="1"/>
    <col min="57" max="57" width="12.85546875" style="3" customWidth="1"/>
    <col min="58" max="60" width="12.85546875" style="10" customWidth="1"/>
    <col min="61" max="61" width="12.85546875" style="12" customWidth="1"/>
    <col min="62" max="62" width="12.85546875" style="3" customWidth="1"/>
    <col min="63" max="65" width="12.85546875" style="10" customWidth="1"/>
    <col min="66" max="66" width="12.85546875" style="12" customWidth="1"/>
    <col min="67" max="67" width="12.85546875" style="3" customWidth="1"/>
    <col min="68" max="70" width="12.85546875" style="10" customWidth="1"/>
    <col min="71" max="71" width="12.85546875" style="12" customWidth="1"/>
    <col min="72" max="72" width="12.85546875" style="3" customWidth="1"/>
    <col min="73" max="75" width="12.85546875" style="10" customWidth="1"/>
    <col min="76" max="76" width="12.85546875" style="12" customWidth="1"/>
    <col min="77" max="77" width="12.85546875" style="3" customWidth="1"/>
    <col min="78" max="80" width="12.85546875" style="10" customWidth="1"/>
    <col min="81" max="81" width="12.85546875" style="12" customWidth="1"/>
    <col min="82" max="82" width="12.85546875" style="3" customWidth="1"/>
    <col min="83" max="85" width="12.85546875" style="10" customWidth="1"/>
    <col min="86" max="86" width="12.85546875" style="12" customWidth="1"/>
    <col min="87" max="87" width="12.85546875" style="3" customWidth="1"/>
    <col min="88" max="90" width="12.85546875" style="10" customWidth="1"/>
    <col min="91" max="91" width="12.85546875" style="12" customWidth="1"/>
    <col min="92" max="92" width="12.85546875" style="3" customWidth="1"/>
    <col min="93" max="96" width="12.85546875" style="10" customWidth="1"/>
    <col min="97" max="97" width="12.85546875" style="3" customWidth="1"/>
    <col min="98" max="100" width="12.85546875" style="10" customWidth="1"/>
    <col min="101" max="101" width="12.85546875" style="12" customWidth="1"/>
    <col min="102" max="102" width="12.85546875" style="3" customWidth="1"/>
    <col min="103" max="106" width="12.85546875" style="10" customWidth="1"/>
    <col min="107" max="107" width="12.85546875" style="3" customWidth="1"/>
    <col min="108" max="111" width="12.85546875" style="10" customWidth="1"/>
    <col min="112" max="112" width="12.85546875" style="3" customWidth="1"/>
    <col min="113" max="115" width="12.85546875" style="10" customWidth="1"/>
    <col min="116" max="116" width="12.85546875" style="12" customWidth="1"/>
    <col min="117" max="117" width="12.85546875" style="17" customWidth="1"/>
    <col min="118" max="121" width="12.85546875" style="12" customWidth="1"/>
    <col min="122" max="122" width="12.85546875" style="3" customWidth="1"/>
    <col min="123" max="126" width="12.85546875" style="10" customWidth="1"/>
    <col min="127" max="127" width="12.85546875" style="3" customWidth="1"/>
    <col min="128" max="130" width="12.85546875" style="10" customWidth="1"/>
    <col min="131" max="131" width="12.85546875" style="12" customWidth="1"/>
    <col min="132" max="132" width="12.85546875" style="3" customWidth="1"/>
    <col min="133" max="135" width="12.85546875" style="10" customWidth="1"/>
    <col min="136" max="136" width="12.85546875" style="12" customWidth="1"/>
    <col min="137" max="137" width="12.85546875" style="3" customWidth="1"/>
    <col min="138" max="140" width="12.85546875" style="10" customWidth="1"/>
    <col min="141" max="141" width="12.85546875" style="12" customWidth="1"/>
    <col min="142" max="145" width="12.85546875" style="10" customWidth="1"/>
    <col min="146" max="146" width="12.85546875" style="12" customWidth="1"/>
    <col min="147" max="147" width="12.85546875" style="3" customWidth="1"/>
    <col min="148" max="150" width="12.85546875" style="10" customWidth="1"/>
    <col min="151" max="151" width="12.85546875" style="12" customWidth="1"/>
    <col min="152" max="152" width="12.85546875" style="3" customWidth="1"/>
    <col min="153" max="155" width="12.85546875" style="10" customWidth="1"/>
    <col min="156" max="156" width="12.85546875" style="12" customWidth="1"/>
    <col min="157" max="16384" width="9.140625" style="10"/>
  </cols>
  <sheetData>
    <row r="1" spans="1:156" ht="53.25" x14ac:dyDescent="0.25">
      <c r="A1" s="14" t="s">
        <v>263</v>
      </c>
    </row>
    <row r="2" spans="1:156" x14ac:dyDescent="0.25">
      <c r="A2" s="59" t="s">
        <v>0</v>
      </c>
      <c r="B2" s="104" t="s">
        <v>1</v>
      </c>
      <c r="C2" s="104"/>
      <c r="D2" s="104"/>
      <c r="E2" s="104"/>
      <c r="F2" s="104"/>
      <c r="G2" s="104" t="s">
        <v>232</v>
      </c>
      <c r="H2" s="104"/>
      <c r="I2" s="104"/>
      <c r="J2" s="104"/>
      <c r="K2" s="104"/>
      <c r="L2" s="104" t="s">
        <v>2</v>
      </c>
      <c r="M2" s="104"/>
      <c r="N2" s="104"/>
      <c r="O2" s="104"/>
      <c r="P2" s="104"/>
      <c r="Q2" s="104" t="s">
        <v>3</v>
      </c>
      <c r="R2" s="104"/>
      <c r="S2" s="104"/>
      <c r="T2" s="104"/>
      <c r="U2" s="104"/>
      <c r="V2" s="104" t="s">
        <v>241</v>
      </c>
      <c r="W2" s="104"/>
      <c r="X2" s="104"/>
      <c r="Y2" s="104"/>
      <c r="Z2" s="104"/>
      <c r="AA2" s="105" t="s">
        <v>233</v>
      </c>
      <c r="AB2" s="106"/>
      <c r="AC2" s="106"/>
      <c r="AD2" s="106"/>
      <c r="AE2" s="107"/>
      <c r="AF2" s="105" t="s">
        <v>5</v>
      </c>
      <c r="AG2" s="106"/>
      <c r="AH2" s="106"/>
      <c r="AI2" s="106"/>
      <c r="AJ2" s="107"/>
      <c r="AK2" s="105" t="s">
        <v>4</v>
      </c>
      <c r="AL2" s="106"/>
      <c r="AM2" s="106"/>
      <c r="AN2" s="106"/>
      <c r="AO2" s="107"/>
      <c r="AP2" s="105" t="s">
        <v>6</v>
      </c>
      <c r="AQ2" s="106"/>
      <c r="AR2" s="106"/>
      <c r="AS2" s="106"/>
      <c r="AT2" s="107"/>
      <c r="AU2" s="105" t="s">
        <v>246</v>
      </c>
      <c r="AV2" s="106"/>
      <c r="AW2" s="106"/>
      <c r="AX2" s="106"/>
      <c r="AY2" s="107"/>
      <c r="AZ2" s="105" t="s">
        <v>7</v>
      </c>
      <c r="BA2" s="106"/>
      <c r="BB2" s="106"/>
      <c r="BC2" s="106"/>
      <c r="BD2" s="107"/>
      <c r="BE2" s="105" t="s">
        <v>8</v>
      </c>
      <c r="BF2" s="106"/>
      <c r="BG2" s="106"/>
      <c r="BH2" s="106"/>
      <c r="BI2" s="107"/>
      <c r="BJ2" s="105" t="s">
        <v>9</v>
      </c>
      <c r="BK2" s="106"/>
      <c r="BL2" s="106"/>
      <c r="BM2" s="106"/>
      <c r="BN2" s="107"/>
      <c r="BO2" s="105" t="s">
        <v>240</v>
      </c>
      <c r="BP2" s="106"/>
      <c r="BQ2" s="106"/>
      <c r="BR2" s="106"/>
      <c r="BS2" s="107"/>
      <c r="BT2" s="105" t="s">
        <v>10</v>
      </c>
      <c r="BU2" s="106"/>
      <c r="BV2" s="106"/>
      <c r="BW2" s="106"/>
      <c r="BX2" s="107"/>
      <c r="BY2" s="105" t="s">
        <v>11</v>
      </c>
      <c r="BZ2" s="106"/>
      <c r="CA2" s="106"/>
      <c r="CB2" s="106"/>
      <c r="CC2" s="107"/>
      <c r="CD2" s="105" t="s">
        <v>234</v>
      </c>
      <c r="CE2" s="106"/>
      <c r="CF2" s="106"/>
      <c r="CG2" s="106"/>
      <c r="CH2" s="107"/>
      <c r="CI2" s="105" t="s">
        <v>245</v>
      </c>
      <c r="CJ2" s="106"/>
      <c r="CK2" s="106"/>
      <c r="CL2" s="106"/>
      <c r="CM2" s="107"/>
      <c r="CN2" s="105" t="s">
        <v>12</v>
      </c>
      <c r="CO2" s="106"/>
      <c r="CP2" s="106"/>
      <c r="CQ2" s="106"/>
      <c r="CR2" s="107"/>
      <c r="CS2" s="105" t="s">
        <v>235</v>
      </c>
      <c r="CT2" s="106"/>
      <c r="CU2" s="106"/>
      <c r="CV2" s="106"/>
      <c r="CW2" s="107"/>
      <c r="CX2" s="105" t="s">
        <v>236</v>
      </c>
      <c r="CY2" s="106"/>
      <c r="CZ2" s="106"/>
      <c r="DA2" s="106"/>
      <c r="DB2" s="107"/>
      <c r="DC2" s="105" t="s">
        <v>239</v>
      </c>
      <c r="DD2" s="106"/>
      <c r="DE2" s="106"/>
      <c r="DF2" s="106"/>
      <c r="DG2" s="107"/>
      <c r="DH2" s="104" t="s">
        <v>13</v>
      </c>
      <c r="DI2" s="104"/>
      <c r="DJ2" s="104"/>
      <c r="DK2" s="104"/>
      <c r="DL2" s="104"/>
      <c r="DM2" s="104" t="s">
        <v>14</v>
      </c>
      <c r="DN2" s="104"/>
      <c r="DO2" s="104"/>
      <c r="DP2" s="104"/>
      <c r="DQ2" s="104"/>
      <c r="DR2" s="104" t="s">
        <v>15</v>
      </c>
      <c r="DS2" s="104"/>
      <c r="DT2" s="104"/>
      <c r="DU2" s="104"/>
      <c r="DV2" s="104"/>
      <c r="DW2" s="104" t="s">
        <v>16</v>
      </c>
      <c r="DX2" s="104"/>
      <c r="DY2" s="104"/>
      <c r="DZ2" s="104"/>
      <c r="EA2" s="104"/>
      <c r="EB2" s="104" t="s">
        <v>17</v>
      </c>
      <c r="EC2" s="104"/>
      <c r="ED2" s="104"/>
      <c r="EE2" s="104"/>
      <c r="EF2" s="104"/>
      <c r="EG2" s="104" t="s">
        <v>237</v>
      </c>
      <c r="EH2" s="104"/>
      <c r="EI2" s="104"/>
      <c r="EJ2" s="104"/>
      <c r="EK2" s="104"/>
      <c r="EL2" s="104" t="s">
        <v>238</v>
      </c>
      <c r="EM2" s="104"/>
      <c r="EN2" s="104"/>
      <c r="EO2" s="104"/>
      <c r="EP2" s="104"/>
      <c r="EQ2" s="104" t="s">
        <v>18</v>
      </c>
      <c r="ER2" s="104"/>
      <c r="ES2" s="104"/>
      <c r="ET2" s="104"/>
      <c r="EU2" s="104"/>
      <c r="EV2" s="104" t="s">
        <v>19</v>
      </c>
      <c r="EW2" s="104"/>
      <c r="EX2" s="104"/>
      <c r="EY2" s="104"/>
      <c r="EZ2" s="104"/>
    </row>
    <row r="3" spans="1:156" ht="15" customHeight="1" x14ac:dyDescent="0.25">
      <c r="A3" s="102" t="s">
        <v>146</v>
      </c>
      <c r="B3" s="101" t="s">
        <v>140</v>
      </c>
      <c r="C3" s="102" t="s">
        <v>141</v>
      </c>
      <c r="D3" s="102"/>
      <c r="E3" s="102"/>
      <c r="F3" s="103" t="s">
        <v>142</v>
      </c>
      <c r="G3" s="101" t="s">
        <v>140</v>
      </c>
      <c r="H3" s="102" t="s">
        <v>141</v>
      </c>
      <c r="I3" s="102"/>
      <c r="J3" s="102"/>
      <c r="K3" s="103" t="s">
        <v>142</v>
      </c>
      <c r="L3" s="101" t="s">
        <v>140</v>
      </c>
      <c r="M3" s="102" t="s">
        <v>141</v>
      </c>
      <c r="N3" s="102"/>
      <c r="O3" s="102"/>
      <c r="P3" s="102" t="s">
        <v>142</v>
      </c>
      <c r="Q3" s="101" t="s">
        <v>140</v>
      </c>
      <c r="R3" s="102" t="s">
        <v>141</v>
      </c>
      <c r="S3" s="102"/>
      <c r="T3" s="102"/>
      <c r="U3" s="103" t="s">
        <v>142</v>
      </c>
      <c r="V3" s="101" t="s">
        <v>140</v>
      </c>
      <c r="W3" s="102" t="s">
        <v>141</v>
      </c>
      <c r="X3" s="102"/>
      <c r="Y3" s="102"/>
      <c r="Z3" s="103" t="s">
        <v>142</v>
      </c>
      <c r="AA3" s="101" t="s">
        <v>140</v>
      </c>
      <c r="AB3" s="102" t="s">
        <v>141</v>
      </c>
      <c r="AC3" s="102"/>
      <c r="AD3" s="102"/>
      <c r="AE3" s="103" t="s">
        <v>142</v>
      </c>
      <c r="AF3" s="102" t="s">
        <v>140</v>
      </c>
      <c r="AG3" s="102" t="s">
        <v>141</v>
      </c>
      <c r="AH3" s="102"/>
      <c r="AI3" s="102"/>
      <c r="AJ3" s="103" t="s">
        <v>142</v>
      </c>
      <c r="AK3" s="101" t="s">
        <v>140</v>
      </c>
      <c r="AL3" s="102" t="s">
        <v>141</v>
      </c>
      <c r="AM3" s="102"/>
      <c r="AN3" s="102"/>
      <c r="AO3" s="103" t="s">
        <v>142</v>
      </c>
      <c r="AP3" s="101" t="s">
        <v>140</v>
      </c>
      <c r="AQ3" s="102" t="s">
        <v>141</v>
      </c>
      <c r="AR3" s="102"/>
      <c r="AS3" s="102"/>
      <c r="AT3" s="103" t="s">
        <v>142</v>
      </c>
      <c r="AU3" s="101" t="s">
        <v>140</v>
      </c>
      <c r="AV3" s="102" t="s">
        <v>141</v>
      </c>
      <c r="AW3" s="102"/>
      <c r="AX3" s="102"/>
      <c r="AY3" s="103" t="s">
        <v>142</v>
      </c>
      <c r="AZ3" s="101" t="s">
        <v>140</v>
      </c>
      <c r="BA3" s="102" t="s">
        <v>141</v>
      </c>
      <c r="BB3" s="102"/>
      <c r="BC3" s="102"/>
      <c r="BD3" s="103" t="s">
        <v>142</v>
      </c>
      <c r="BE3" s="101" t="s">
        <v>140</v>
      </c>
      <c r="BF3" s="102" t="s">
        <v>141</v>
      </c>
      <c r="BG3" s="102"/>
      <c r="BH3" s="102"/>
      <c r="BI3" s="103" t="s">
        <v>142</v>
      </c>
      <c r="BJ3" s="101" t="s">
        <v>140</v>
      </c>
      <c r="BK3" s="102" t="s">
        <v>141</v>
      </c>
      <c r="BL3" s="102"/>
      <c r="BM3" s="102"/>
      <c r="BN3" s="103" t="s">
        <v>142</v>
      </c>
      <c r="BO3" s="101" t="s">
        <v>140</v>
      </c>
      <c r="BP3" s="102" t="s">
        <v>141</v>
      </c>
      <c r="BQ3" s="102"/>
      <c r="BR3" s="102"/>
      <c r="BS3" s="103" t="s">
        <v>142</v>
      </c>
      <c r="BT3" s="101" t="s">
        <v>140</v>
      </c>
      <c r="BU3" s="102" t="s">
        <v>141</v>
      </c>
      <c r="BV3" s="102"/>
      <c r="BW3" s="102"/>
      <c r="BX3" s="103" t="s">
        <v>142</v>
      </c>
      <c r="BY3" s="101" t="s">
        <v>140</v>
      </c>
      <c r="BZ3" s="102" t="s">
        <v>141</v>
      </c>
      <c r="CA3" s="102"/>
      <c r="CB3" s="102"/>
      <c r="CC3" s="103" t="s">
        <v>142</v>
      </c>
      <c r="CD3" s="101" t="s">
        <v>140</v>
      </c>
      <c r="CE3" s="102" t="s">
        <v>141</v>
      </c>
      <c r="CF3" s="102"/>
      <c r="CG3" s="102"/>
      <c r="CH3" s="103" t="s">
        <v>142</v>
      </c>
      <c r="CI3" s="101" t="s">
        <v>140</v>
      </c>
      <c r="CJ3" s="102" t="s">
        <v>141</v>
      </c>
      <c r="CK3" s="102"/>
      <c r="CL3" s="102"/>
      <c r="CM3" s="103" t="s">
        <v>142</v>
      </c>
      <c r="CN3" s="101" t="s">
        <v>140</v>
      </c>
      <c r="CO3" s="102" t="s">
        <v>141</v>
      </c>
      <c r="CP3" s="102"/>
      <c r="CQ3" s="102"/>
      <c r="CR3" s="108" t="s">
        <v>142</v>
      </c>
      <c r="CS3" s="101" t="s">
        <v>140</v>
      </c>
      <c r="CT3" s="102" t="s">
        <v>141</v>
      </c>
      <c r="CU3" s="102"/>
      <c r="CV3" s="102"/>
      <c r="CW3" s="103" t="s">
        <v>142</v>
      </c>
      <c r="CX3" s="101" t="s">
        <v>140</v>
      </c>
      <c r="CY3" s="102" t="s">
        <v>141</v>
      </c>
      <c r="CZ3" s="102"/>
      <c r="DA3" s="102"/>
      <c r="DB3" s="108" t="s">
        <v>142</v>
      </c>
      <c r="DC3" s="101" t="s">
        <v>140</v>
      </c>
      <c r="DD3" s="102" t="s">
        <v>141</v>
      </c>
      <c r="DE3" s="102"/>
      <c r="DF3" s="102"/>
      <c r="DG3" s="108" t="s">
        <v>142</v>
      </c>
      <c r="DH3" s="101" t="s">
        <v>140</v>
      </c>
      <c r="DI3" s="102" t="s">
        <v>141</v>
      </c>
      <c r="DJ3" s="102"/>
      <c r="DK3" s="102"/>
      <c r="DL3" s="103" t="s">
        <v>142</v>
      </c>
      <c r="DM3" s="101" t="s">
        <v>140</v>
      </c>
      <c r="DN3" s="102" t="s">
        <v>141</v>
      </c>
      <c r="DO3" s="102"/>
      <c r="DP3" s="102"/>
      <c r="DQ3" s="103" t="s">
        <v>142</v>
      </c>
      <c r="DR3" s="101" t="s">
        <v>140</v>
      </c>
      <c r="DS3" s="102" t="s">
        <v>141</v>
      </c>
      <c r="DT3" s="102"/>
      <c r="DU3" s="102"/>
      <c r="DV3" s="108" t="s">
        <v>142</v>
      </c>
      <c r="DW3" s="101" t="s">
        <v>140</v>
      </c>
      <c r="DX3" s="102" t="s">
        <v>141</v>
      </c>
      <c r="DY3" s="102"/>
      <c r="DZ3" s="102"/>
      <c r="EA3" s="103" t="s">
        <v>142</v>
      </c>
      <c r="EB3" s="101" t="s">
        <v>140</v>
      </c>
      <c r="EC3" s="102" t="s">
        <v>141</v>
      </c>
      <c r="ED3" s="102"/>
      <c r="EE3" s="102"/>
      <c r="EF3" s="103" t="s">
        <v>142</v>
      </c>
      <c r="EG3" s="101" t="s">
        <v>140</v>
      </c>
      <c r="EH3" s="102" t="s">
        <v>141</v>
      </c>
      <c r="EI3" s="102"/>
      <c r="EJ3" s="102"/>
      <c r="EK3" s="103" t="s">
        <v>142</v>
      </c>
      <c r="EL3" s="102" t="s">
        <v>140</v>
      </c>
      <c r="EM3" s="102" t="s">
        <v>141</v>
      </c>
      <c r="EN3" s="102"/>
      <c r="EO3" s="102"/>
      <c r="EP3" s="103" t="s">
        <v>142</v>
      </c>
      <c r="EQ3" s="101" t="s">
        <v>140</v>
      </c>
      <c r="ER3" s="102" t="s">
        <v>141</v>
      </c>
      <c r="ES3" s="102"/>
      <c r="ET3" s="102"/>
      <c r="EU3" s="103" t="s">
        <v>142</v>
      </c>
      <c r="EV3" s="101" t="s">
        <v>140</v>
      </c>
      <c r="EW3" s="102" t="s">
        <v>141</v>
      </c>
      <c r="EX3" s="102"/>
      <c r="EY3" s="102"/>
      <c r="EZ3" s="103" t="s">
        <v>142</v>
      </c>
    </row>
    <row r="4" spans="1:156" ht="30" x14ac:dyDescent="0.25">
      <c r="A4" s="102"/>
      <c r="B4" s="101"/>
      <c r="C4" s="60" t="s">
        <v>143</v>
      </c>
      <c r="D4" s="60" t="s">
        <v>144</v>
      </c>
      <c r="E4" s="60" t="s">
        <v>145</v>
      </c>
      <c r="F4" s="103"/>
      <c r="G4" s="101"/>
      <c r="H4" s="60" t="s">
        <v>143</v>
      </c>
      <c r="I4" s="60" t="s">
        <v>144</v>
      </c>
      <c r="J4" s="60" t="s">
        <v>145</v>
      </c>
      <c r="K4" s="103"/>
      <c r="L4" s="101"/>
      <c r="M4" s="60" t="s">
        <v>143</v>
      </c>
      <c r="N4" s="60" t="s">
        <v>144</v>
      </c>
      <c r="O4" s="60" t="s">
        <v>145</v>
      </c>
      <c r="P4" s="102"/>
      <c r="Q4" s="101"/>
      <c r="R4" s="60" t="s">
        <v>143</v>
      </c>
      <c r="S4" s="60" t="s">
        <v>144</v>
      </c>
      <c r="T4" s="60" t="s">
        <v>145</v>
      </c>
      <c r="U4" s="103"/>
      <c r="V4" s="101"/>
      <c r="W4" s="60" t="s">
        <v>143</v>
      </c>
      <c r="X4" s="60" t="s">
        <v>144</v>
      </c>
      <c r="Y4" s="60" t="s">
        <v>145</v>
      </c>
      <c r="Z4" s="103"/>
      <c r="AA4" s="101"/>
      <c r="AB4" s="60" t="s">
        <v>143</v>
      </c>
      <c r="AC4" s="60" t="s">
        <v>144</v>
      </c>
      <c r="AD4" s="60" t="s">
        <v>145</v>
      </c>
      <c r="AE4" s="103"/>
      <c r="AF4" s="102"/>
      <c r="AG4" s="60" t="s">
        <v>143</v>
      </c>
      <c r="AH4" s="60" t="s">
        <v>144</v>
      </c>
      <c r="AI4" s="60" t="s">
        <v>145</v>
      </c>
      <c r="AJ4" s="103"/>
      <c r="AK4" s="101"/>
      <c r="AL4" s="60" t="s">
        <v>143</v>
      </c>
      <c r="AM4" s="60" t="s">
        <v>144</v>
      </c>
      <c r="AN4" s="60" t="s">
        <v>145</v>
      </c>
      <c r="AO4" s="103"/>
      <c r="AP4" s="101"/>
      <c r="AQ4" s="60" t="s">
        <v>143</v>
      </c>
      <c r="AR4" s="60" t="s">
        <v>144</v>
      </c>
      <c r="AS4" s="60" t="s">
        <v>145</v>
      </c>
      <c r="AT4" s="103"/>
      <c r="AU4" s="101"/>
      <c r="AV4" s="60" t="s">
        <v>143</v>
      </c>
      <c r="AW4" s="60" t="s">
        <v>144</v>
      </c>
      <c r="AX4" s="60" t="s">
        <v>145</v>
      </c>
      <c r="AY4" s="103"/>
      <c r="AZ4" s="101"/>
      <c r="BA4" s="60" t="s">
        <v>143</v>
      </c>
      <c r="BB4" s="60" t="s">
        <v>144</v>
      </c>
      <c r="BC4" s="60" t="s">
        <v>145</v>
      </c>
      <c r="BD4" s="103"/>
      <c r="BE4" s="101"/>
      <c r="BF4" s="60" t="s">
        <v>143</v>
      </c>
      <c r="BG4" s="60" t="s">
        <v>144</v>
      </c>
      <c r="BH4" s="60" t="s">
        <v>145</v>
      </c>
      <c r="BI4" s="103"/>
      <c r="BJ4" s="101"/>
      <c r="BK4" s="60" t="s">
        <v>143</v>
      </c>
      <c r="BL4" s="60" t="s">
        <v>144</v>
      </c>
      <c r="BM4" s="60" t="s">
        <v>145</v>
      </c>
      <c r="BN4" s="103"/>
      <c r="BO4" s="101"/>
      <c r="BP4" s="60" t="s">
        <v>143</v>
      </c>
      <c r="BQ4" s="60" t="s">
        <v>144</v>
      </c>
      <c r="BR4" s="60" t="s">
        <v>145</v>
      </c>
      <c r="BS4" s="103"/>
      <c r="BT4" s="101"/>
      <c r="BU4" s="60" t="s">
        <v>143</v>
      </c>
      <c r="BV4" s="60" t="s">
        <v>144</v>
      </c>
      <c r="BW4" s="60" t="s">
        <v>145</v>
      </c>
      <c r="BX4" s="103"/>
      <c r="BY4" s="101"/>
      <c r="BZ4" s="60" t="s">
        <v>143</v>
      </c>
      <c r="CA4" s="60" t="s">
        <v>144</v>
      </c>
      <c r="CB4" s="60" t="s">
        <v>145</v>
      </c>
      <c r="CC4" s="103"/>
      <c r="CD4" s="101"/>
      <c r="CE4" s="60" t="s">
        <v>143</v>
      </c>
      <c r="CF4" s="60" t="s">
        <v>144</v>
      </c>
      <c r="CG4" s="60" t="s">
        <v>145</v>
      </c>
      <c r="CH4" s="103"/>
      <c r="CI4" s="101"/>
      <c r="CJ4" s="60" t="s">
        <v>143</v>
      </c>
      <c r="CK4" s="60" t="s">
        <v>144</v>
      </c>
      <c r="CL4" s="60" t="s">
        <v>145</v>
      </c>
      <c r="CM4" s="103"/>
      <c r="CN4" s="101"/>
      <c r="CO4" s="60" t="s">
        <v>143</v>
      </c>
      <c r="CP4" s="60" t="s">
        <v>144</v>
      </c>
      <c r="CQ4" s="60" t="s">
        <v>145</v>
      </c>
      <c r="CR4" s="108"/>
      <c r="CS4" s="101"/>
      <c r="CT4" s="60" t="s">
        <v>143</v>
      </c>
      <c r="CU4" s="60" t="s">
        <v>144</v>
      </c>
      <c r="CV4" s="60" t="s">
        <v>145</v>
      </c>
      <c r="CW4" s="103"/>
      <c r="CX4" s="101"/>
      <c r="CY4" s="60" t="s">
        <v>143</v>
      </c>
      <c r="CZ4" s="60" t="s">
        <v>144</v>
      </c>
      <c r="DA4" s="60" t="s">
        <v>145</v>
      </c>
      <c r="DB4" s="108"/>
      <c r="DC4" s="101"/>
      <c r="DD4" s="60" t="s">
        <v>143</v>
      </c>
      <c r="DE4" s="60" t="s">
        <v>144</v>
      </c>
      <c r="DF4" s="60" t="s">
        <v>145</v>
      </c>
      <c r="DG4" s="108"/>
      <c r="DH4" s="101"/>
      <c r="DI4" s="60" t="s">
        <v>143</v>
      </c>
      <c r="DJ4" s="60" t="s">
        <v>144</v>
      </c>
      <c r="DK4" s="60" t="s">
        <v>145</v>
      </c>
      <c r="DL4" s="103"/>
      <c r="DM4" s="101"/>
      <c r="DN4" s="60" t="s">
        <v>143</v>
      </c>
      <c r="DO4" s="60" t="s">
        <v>144</v>
      </c>
      <c r="DP4" s="60" t="s">
        <v>145</v>
      </c>
      <c r="DQ4" s="103"/>
      <c r="DR4" s="101"/>
      <c r="DS4" s="60" t="s">
        <v>143</v>
      </c>
      <c r="DT4" s="60" t="s">
        <v>144</v>
      </c>
      <c r="DU4" s="60" t="s">
        <v>145</v>
      </c>
      <c r="DV4" s="108"/>
      <c r="DW4" s="101"/>
      <c r="DX4" s="60" t="s">
        <v>143</v>
      </c>
      <c r="DY4" s="60" t="s">
        <v>144</v>
      </c>
      <c r="DZ4" s="60" t="s">
        <v>145</v>
      </c>
      <c r="EA4" s="103"/>
      <c r="EB4" s="101"/>
      <c r="EC4" s="60" t="s">
        <v>143</v>
      </c>
      <c r="ED4" s="60" t="s">
        <v>144</v>
      </c>
      <c r="EE4" s="60" t="s">
        <v>145</v>
      </c>
      <c r="EF4" s="103"/>
      <c r="EG4" s="101"/>
      <c r="EH4" s="60" t="s">
        <v>143</v>
      </c>
      <c r="EI4" s="60" t="s">
        <v>144</v>
      </c>
      <c r="EJ4" s="60" t="s">
        <v>145</v>
      </c>
      <c r="EK4" s="103"/>
      <c r="EL4" s="102"/>
      <c r="EM4" s="60" t="s">
        <v>143</v>
      </c>
      <c r="EN4" s="60" t="s">
        <v>144</v>
      </c>
      <c r="EO4" s="60" t="s">
        <v>145</v>
      </c>
      <c r="EP4" s="103"/>
      <c r="EQ4" s="101"/>
      <c r="ER4" s="60" t="s">
        <v>143</v>
      </c>
      <c r="ES4" s="60" t="s">
        <v>144</v>
      </c>
      <c r="ET4" s="60" t="s">
        <v>145</v>
      </c>
      <c r="EU4" s="103"/>
      <c r="EV4" s="101"/>
      <c r="EW4" s="60" t="s">
        <v>143</v>
      </c>
      <c r="EX4" s="60" t="s">
        <v>144</v>
      </c>
      <c r="EY4" s="60" t="s">
        <v>145</v>
      </c>
      <c r="EZ4" s="103"/>
    </row>
    <row r="5" spans="1:156" x14ac:dyDescent="0.25">
      <c r="A5" s="61" t="s">
        <v>255</v>
      </c>
      <c r="B5" s="31"/>
      <c r="C5" s="60"/>
      <c r="D5" s="60"/>
      <c r="E5" s="60"/>
      <c r="F5" s="62"/>
      <c r="G5" s="31"/>
      <c r="H5" s="60"/>
      <c r="I5" s="60"/>
      <c r="J5" s="60"/>
      <c r="K5" s="62"/>
      <c r="L5" s="31"/>
      <c r="M5" s="60"/>
      <c r="N5" s="60"/>
      <c r="O5" s="60"/>
      <c r="P5" s="61"/>
      <c r="Q5" s="31"/>
      <c r="R5" s="60"/>
      <c r="S5" s="60"/>
      <c r="T5" s="60"/>
      <c r="U5" s="62"/>
      <c r="V5" s="31"/>
      <c r="W5" s="60"/>
      <c r="X5" s="60"/>
      <c r="Y5" s="60"/>
      <c r="Z5" s="62"/>
      <c r="AA5" s="31"/>
      <c r="AB5" s="60"/>
      <c r="AC5" s="60"/>
      <c r="AD5" s="60"/>
      <c r="AE5" s="62"/>
      <c r="AF5" s="61"/>
      <c r="AG5" s="60"/>
      <c r="AH5" s="60"/>
      <c r="AI5" s="60"/>
      <c r="AJ5" s="62"/>
      <c r="AK5" s="31"/>
      <c r="AL5" s="60"/>
      <c r="AM5" s="60"/>
      <c r="AN5" s="60"/>
      <c r="AO5" s="62"/>
      <c r="AP5" s="31"/>
      <c r="AQ5" s="60"/>
      <c r="AR5" s="60"/>
      <c r="AS5" s="60"/>
      <c r="AT5" s="62"/>
      <c r="AU5" s="31"/>
      <c r="AV5" s="60"/>
      <c r="AW5" s="60"/>
      <c r="AX5" s="60"/>
      <c r="AY5" s="62"/>
      <c r="AZ5" s="31"/>
      <c r="BA5" s="60"/>
      <c r="BB5" s="60"/>
      <c r="BC5" s="60"/>
      <c r="BD5" s="62"/>
      <c r="BE5" s="31"/>
      <c r="BF5" s="60"/>
      <c r="BG5" s="60"/>
      <c r="BH5" s="60"/>
      <c r="BI5" s="62"/>
      <c r="BJ5" s="31"/>
      <c r="BK5" s="60"/>
      <c r="BL5" s="60"/>
      <c r="BM5" s="60"/>
      <c r="BN5" s="62"/>
      <c r="BO5" s="31"/>
      <c r="BP5" s="60"/>
      <c r="BQ5" s="60"/>
      <c r="BR5" s="60"/>
      <c r="BS5" s="62"/>
      <c r="BT5" s="31"/>
      <c r="BU5" s="60"/>
      <c r="BV5" s="60"/>
      <c r="BW5" s="60"/>
      <c r="BX5" s="62"/>
      <c r="BY5" s="31"/>
      <c r="BZ5" s="60"/>
      <c r="CA5" s="60"/>
      <c r="CB5" s="60"/>
      <c r="CC5" s="62"/>
      <c r="CD5" s="31"/>
      <c r="CE5" s="60"/>
      <c r="CF5" s="60"/>
      <c r="CG5" s="60"/>
      <c r="CH5" s="62"/>
      <c r="CI5" s="31"/>
      <c r="CJ5" s="60"/>
      <c r="CK5" s="60"/>
      <c r="CL5" s="60"/>
      <c r="CM5" s="62"/>
      <c r="CN5" s="31"/>
      <c r="CO5" s="60"/>
      <c r="CP5" s="60"/>
      <c r="CQ5" s="60"/>
      <c r="CR5" s="63"/>
      <c r="CS5" s="31"/>
      <c r="CT5" s="60"/>
      <c r="CU5" s="60"/>
      <c r="CV5" s="60"/>
      <c r="CW5" s="62"/>
      <c r="CX5" s="31"/>
      <c r="CY5" s="60"/>
      <c r="CZ5" s="60"/>
      <c r="DA5" s="60"/>
      <c r="DB5" s="63"/>
      <c r="DC5" s="31"/>
      <c r="DD5" s="60"/>
      <c r="DE5" s="60"/>
      <c r="DF5" s="60"/>
      <c r="DG5" s="63"/>
      <c r="DH5" s="31"/>
      <c r="DI5" s="60"/>
      <c r="DJ5" s="60"/>
      <c r="DK5" s="60"/>
      <c r="DL5" s="62"/>
      <c r="DM5" s="31"/>
      <c r="DN5" s="60"/>
      <c r="DO5" s="60"/>
      <c r="DP5" s="60"/>
      <c r="DQ5" s="62"/>
      <c r="DR5" s="31"/>
      <c r="DS5" s="60"/>
      <c r="DT5" s="60"/>
      <c r="DU5" s="60"/>
      <c r="DV5" s="63"/>
      <c r="DW5" s="31"/>
      <c r="DX5" s="60"/>
      <c r="DY5" s="60"/>
      <c r="DZ5" s="60"/>
      <c r="EA5" s="62"/>
      <c r="EB5" s="31"/>
      <c r="EC5" s="60"/>
      <c r="ED5" s="60"/>
      <c r="EE5" s="60"/>
      <c r="EF5" s="62"/>
      <c r="EG5" s="31"/>
      <c r="EH5" s="60"/>
      <c r="EI5" s="60"/>
      <c r="EJ5" s="60"/>
      <c r="EK5" s="62"/>
      <c r="EL5" s="61"/>
      <c r="EM5" s="60"/>
      <c r="EN5" s="60"/>
      <c r="EO5" s="60"/>
      <c r="EP5" s="62"/>
      <c r="EQ5" s="31"/>
      <c r="ER5" s="60"/>
      <c r="ES5" s="60"/>
      <c r="ET5" s="60"/>
      <c r="EU5" s="62"/>
      <c r="EV5" s="31"/>
      <c r="EW5" s="60"/>
      <c r="EX5" s="60"/>
      <c r="EY5" s="60"/>
      <c r="EZ5" s="62"/>
    </row>
    <row r="6" spans="1:156" x14ac:dyDescent="0.25">
      <c r="A6" s="41" t="s">
        <v>147</v>
      </c>
      <c r="B6" s="24"/>
      <c r="C6" s="41"/>
      <c r="D6" s="41"/>
      <c r="E6" s="41"/>
      <c r="F6" s="52"/>
      <c r="G6" s="24"/>
      <c r="H6" s="41"/>
      <c r="I6" s="41"/>
      <c r="J6" s="41"/>
      <c r="K6" s="52"/>
      <c r="L6" s="24"/>
      <c r="M6" s="41"/>
      <c r="N6" s="41"/>
      <c r="O6" s="41"/>
      <c r="P6" s="41"/>
      <c r="Q6" s="24"/>
      <c r="R6" s="41"/>
      <c r="S6" s="41"/>
      <c r="T6" s="41"/>
      <c r="U6" s="52"/>
      <c r="V6" s="24"/>
      <c r="W6" s="41"/>
      <c r="X6" s="41"/>
      <c r="Y6" s="41"/>
      <c r="Z6" s="52"/>
      <c r="AA6" s="24"/>
      <c r="AB6" s="41"/>
      <c r="AC6" s="41"/>
      <c r="AD6" s="41"/>
      <c r="AE6" s="52"/>
      <c r="AF6" s="24"/>
      <c r="AG6" s="41"/>
      <c r="AH6" s="41"/>
      <c r="AI6" s="41"/>
      <c r="AJ6" s="52"/>
      <c r="AK6" s="24"/>
      <c r="AL6" s="41"/>
      <c r="AM6" s="41"/>
      <c r="AN6" s="41"/>
      <c r="AO6" s="52"/>
      <c r="AP6" s="24"/>
      <c r="AQ6" s="41"/>
      <c r="AR6" s="41"/>
      <c r="AS6" s="24"/>
      <c r="AT6" s="52"/>
      <c r="AU6" s="24"/>
      <c r="AV6" s="41"/>
      <c r="AW6" s="41"/>
      <c r="AX6" s="41"/>
      <c r="AY6" s="52"/>
      <c r="AZ6" s="24"/>
      <c r="BA6" s="41"/>
      <c r="BB6" s="41"/>
      <c r="BC6" s="41"/>
      <c r="BD6" s="52"/>
      <c r="BE6" s="24"/>
      <c r="BF6" s="41"/>
      <c r="BG6" s="41"/>
      <c r="BH6" s="41"/>
      <c r="BI6" s="52"/>
      <c r="BJ6" s="24"/>
      <c r="BK6" s="41"/>
      <c r="BL6" s="41"/>
      <c r="BM6" s="41"/>
      <c r="BN6" s="52"/>
      <c r="BO6" s="24"/>
      <c r="BP6" s="41"/>
      <c r="BQ6" s="41"/>
      <c r="BR6" s="41"/>
      <c r="BS6" s="52"/>
      <c r="BT6" s="24"/>
      <c r="BU6" s="41"/>
      <c r="BV6" s="41"/>
      <c r="BW6" s="41"/>
      <c r="BX6" s="52"/>
      <c r="BY6" s="24"/>
      <c r="BZ6" s="41"/>
      <c r="CA6" s="41"/>
      <c r="CB6" s="41"/>
      <c r="CC6" s="52"/>
      <c r="CD6" s="24"/>
      <c r="CE6" s="41"/>
      <c r="CF6" s="41"/>
      <c r="CG6" s="41"/>
      <c r="CH6" s="52"/>
      <c r="CI6" s="24"/>
      <c r="CJ6" s="41"/>
      <c r="CK6" s="41"/>
      <c r="CL6" s="41"/>
      <c r="CM6" s="52"/>
      <c r="CN6" s="24"/>
      <c r="CO6" s="41"/>
      <c r="CP6" s="41"/>
      <c r="CQ6" s="41"/>
      <c r="CR6" s="41"/>
      <c r="CS6" s="24"/>
      <c r="CT6" s="41"/>
      <c r="CU6" s="41"/>
      <c r="CV6" s="41"/>
      <c r="CW6" s="52"/>
      <c r="CX6" s="24"/>
      <c r="CY6" s="41"/>
      <c r="CZ6" s="41"/>
      <c r="DA6" s="41"/>
      <c r="DB6" s="52"/>
      <c r="DC6" s="24"/>
      <c r="DD6" s="41"/>
      <c r="DE6" s="41"/>
      <c r="DF6" s="41"/>
      <c r="DG6" s="41"/>
      <c r="DH6" s="24"/>
      <c r="DI6" s="41"/>
      <c r="DJ6" s="41"/>
      <c r="DK6" s="41"/>
      <c r="DL6" s="52"/>
      <c r="DM6" s="64"/>
      <c r="DN6" s="55"/>
      <c r="DO6" s="52"/>
      <c r="DP6" s="52"/>
      <c r="DQ6" s="52"/>
      <c r="DR6" s="24"/>
      <c r="DS6" s="41"/>
      <c r="DT6" s="41"/>
      <c r="DU6" s="41"/>
      <c r="DV6" s="41"/>
      <c r="DW6" s="24"/>
      <c r="DX6" s="41"/>
      <c r="DY6" s="41"/>
      <c r="DZ6" s="41"/>
      <c r="EA6" s="52"/>
      <c r="EB6" s="24"/>
      <c r="EC6" s="41"/>
      <c r="ED6" s="41"/>
      <c r="EE6" s="41"/>
      <c r="EF6" s="52"/>
      <c r="EG6" s="24"/>
      <c r="EH6" s="41"/>
      <c r="EI6" s="41"/>
      <c r="EJ6" s="41"/>
      <c r="EK6" s="52"/>
      <c r="EL6" s="41"/>
      <c r="EM6" s="41"/>
      <c r="EN6" s="41"/>
      <c r="EO6" s="41"/>
      <c r="EP6" s="52"/>
      <c r="EQ6" s="24">
        <v>4</v>
      </c>
      <c r="ER6" s="24">
        <v>52</v>
      </c>
      <c r="ES6" s="24"/>
      <c r="ET6" s="24">
        <v>80</v>
      </c>
      <c r="EU6" s="52">
        <v>8.9999999999999998E-4</v>
      </c>
      <c r="EV6" s="24"/>
      <c r="EW6" s="41"/>
      <c r="EX6" s="41"/>
      <c r="EY6" s="41"/>
      <c r="EZ6" s="52"/>
    </row>
    <row r="7" spans="1:156" x14ac:dyDescent="0.25">
      <c r="A7" s="41" t="s">
        <v>148</v>
      </c>
      <c r="B7" s="24"/>
      <c r="C7" s="41"/>
      <c r="D7" s="41"/>
      <c r="E7" s="41"/>
      <c r="F7" s="52"/>
      <c r="G7" s="24"/>
      <c r="H7" s="41"/>
      <c r="I7" s="41"/>
      <c r="J7" s="41"/>
      <c r="K7" s="52"/>
      <c r="L7" s="24">
        <v>7</v>
      </c>
      <c r="M7" s="41">
        <v>187297.91</v>
      </c>
      <c r="N7" s="41">
        <v>497.31</v>
      </c>
      <c r="O7" s="55">
        <v>1501.8</v>
      </c>
      <c r="P7" s="52">
        <v>0.39229999999999998</v>
      </c>
      <c r="Q7" s="24">
        <v>25</v>
      </c>
      <c r="R7" s="41">
        <v>44945.14</v>
      </c>
      <c r="S7" s="22">
        <v>57.63</v>
      </c>
      <c r="T7" s="41">
        <v>37647.67</v>
      </c>
      <c r="U7" s="50">
        <v>0.20849999999999999</v>
      </c>
      <c r="V7" s="24"/>
      <c r="W7" s="24"/>
      <c r="X7" s="24"/>
      <c r="Y7" s="24"/>
      <c r="Z7" s="52"/>
      <c r="AA7" s="24">
        <v>4</v>
      </c>
      <c r="AB7" s="24">
        <v>1710</v>
      </c>
      <c r="AC7" s="24">
        <v>71</v>
      </c>
      <c r="AD7" s="24"/>
      <c r="AE7" s="52">
        <v>2.35E-2</v>
      </c>
      <c r="AF7" s="24"/>
      <c r="AG7" s="41"/>
      <c r="AH7" s="41"/>
      <c r="AI7" s="41"/>
      <c r="AJ7" s="52"/>
      <c r="AK7" s="24"/>
      <c r="AL7" s="41"/>
      <c r="AM7" s="41"/>
      <c r="AN7" s="41"/>
      <c r="AO7" s="52"/>
      <c r="AP7" s="24">
        <v>1</v>
      </c>
      <c r="AQ7" s="24">
        <v>2485</v>
      </c>
      <c r="AR7" s="24">
        <v>-9</v>
      </c>
      <c r="AS7" s="24">
        <v>13</v>
      </c>
      <c r="AT7" s="52">
        <v>3.4700000000000002E-2</v>
      </c>
      <c r="AU7" s="24">
        <v>3</v>
      </c>
      <c r="AV7" s="24">
        <v>18806</v>
      </c>
      <c r="AW7" s="24"/>
      <c r="AX7" s="24">
        <v>89</v>
      </c>
      <c r="AY7" s="52">
        <v>0.22600000000000001</v>
      </c>
      <c r="AZ7" s="24">
        <v>14</v>
      </c>
      <c r="BA7" s="24">
        <v>213</v>
      </c>
      <c r="BB7" s="24">
        <v>101</v>
      </c>
      <c r="BC7" s="24">
        <v>1113</v>
      </c>
      <c r="BD7" s="52">
        <v>3.5999999999999999E-3</v>
      </c>
      <c r="BE7" s="24">
        <v>37</v>
      </c>
      <c r="BF7" s="24">
        <v>17176</v>
      </c>
      <c r="BG7" s="24">
        <v>288</v>
      </c>
      <c r="BH7" s="24">
        <v>3624</v>
      </c>
      <c r="BI7" s="51">
        <v>6.0199999999999997E-2</v>
      </c>
      <c r="BJ7" s="24">
        <v>5</v>
      </c>
      <c r="BK7" s="41">
        <v>8615.61</v>
      </c>
      <c r="BL7" s="41">
        <v>0.06</v>
      </c>
      <c r="BM7" s="41">
        <v>541.12</v>
      </c>
      <c r="BN7" s="115">
        <v>0.06</v>
      </c>
      <c r="BO7" s="24"/>
      <c r="BP7" s="41"/>
      <c r="BQ7" s="41"/>
      <c r="BR7" s="41"/>
      <c r="BS7" s="52"/>
      <c r="BT7" s="24">
        <v>2</v>
      </c>
      <c r="BU7" s="41">
        <v>4.78</v>
      </c>
      <c r="BV7" s="41"/>
      <c r="BW7" s="41"/>
      <c r="BX7" s="52"/>
      <c r="BY7" s="24">
        <v>6</v>
      </c>
      <c r="BZ7" s="24">
        <v>46</v>
      </c>
      <c r="CA7" s="24">
        <v>21</v>
      </c>
      <c r="CB7" s="24"/>
      <c r="CC7" s="52">
        <v>2E-3</v>
      </c>
      <c r="CD7" s="24"/>
      <c r="CE7" s="41"/>
      <c r="CF7" s="41"/>
      <c r="CG7" s="41"/>
      <c r="CH7" s="52"/>
      <c r="CI7" s="24"/>
      <c r="CJ7" s="41"/>
      <c r="CK7" s="41"/>
      <c r="CL7" s="41"/>
      <c r="CM7" s="52"/>
      <c r="CN7" s="24">
        <v>1</v>
      </c>
      <c r="CO7" s="41"/>
      <c r="CP7" s="41"/>
      <c r="CQ7" s="41">
        <v>96.42</v>
      </c>
      <c r="CR7" s="52">
        <v>1.1000000000000001E-3</v>
      </c>
      <c r="CS7" s="24"/>
      <c r="CT7" s="41"/>
      <c r="CU7" s="41"/>
      <c r="CV7" s="41"/>
      <c r="CW7" s="52"/>
      <c r="CX7" s="24">
        <v>1</v>
      </c>
      <c r="CY7" s="24"/>
      <c r="CZ7" s="24">
        <v>1</v>
      </c>
      <c r="DA7" s="41"/>
      <c r="DB7" s="52">
        <v>2.9999999999999997E-4</v>
      </c>
      <c r="DC7" s="24">
        <v>22</v>
      </c>
      <c r="DD7" s="24">
        <v>4387</v>
      </c>
      <c r="DE7" s="24">
        <v>321</v>
      </c>
      <c r="DF7" s="24">
        <v>1531</v>
      </c>
      <c r="DG7" s="52">
        <v>2.4199999999999999E-2</v>
      </c>
      <c r="DH7" s="24">
        <v>1</v>
      </c>
      <c r="DI7" s="41">
        <v>762.4</v>
      </c>
      <c r="DJ7" s="41">
        <v>60.63</v>
      </c>
      <c r="DK7" s="41"/>
      <c r="DL7" s="52">
        <v>1.8700000000000001E-2</v>
      </c>
      <c r="DM7" s="64">
        <v>15</v>
      </c>
      <c r="DN7" s="55">
        <v>43999.26</v>
      </c>
      <c r="DO7" s="55">
        <v>418.1</v>
      </c>
      <c r="DP7" s="55">
        <v>370.5</v>
      </c>
      <c r="DQ7" s="52">
        <v>0.18479999999999999</v>
      </c>
      <c r="DR7" s="24"/>
      <c r="DS7" s="41"/>
      <c r="DT7" s="41"/>
      <c r="DU7" s="41"/>
      <c r="DV7" s="41"/>
      <c r="DW7" s="24"/>
      <c r="DX7" s="41"/>
      <c r="DY7" s="41"/>
      <c r="DZ7" s="41"/>
      <c r="EA7" s="52"/>
      <c r="EB7" s="24">
        <v>18</v>
      </c>
      <c r="EC7" s="24">
        <v>40866</v>
      </c>
      <c r="ED7" s="24">
        <v>2310</v>
      </c>
      <c r="EE7" s="24">
        <v>14759</v>
      </c>
      <c r="EF7" s="51">
        <v>0.05</v>
      </c>
      <c r="EG7" s="24">
        <v>14</v>
      </c>
      <c r="EH7" s="41">
        <v>1793.52</v>
      </c>
      <c r="EI7" s="41">
        <v>671.75</v>
      </c>
      <c r="EJ7" s="41">
        <v>3010.69</v>
      </c>
      <c r="EK7" s="52">
        <v>1.5100000000000001E-2</v>
      </c>
      <c r="EL7" s="24"/>
      <c r="EM7" s="24">
        <v>6934.82</v>
      </c>
      <c r="EN7" s="24">
        <v>173.86</v>
      </c>
      <c r="EO7" s="24">
        <v>10.039999999999999</v>
      </c>
      <c r="EP7" s="52">
        <v>0.06</v>
      </c>
      <c r="EQ7" s="24">
        <v>9</v>
      </c>
      <c r="ER7" s="24"/>
      <c r="ES7" s="24">
        <v>884</v>
      </c>
      <c r="ET7" s="24">
        <v>97</v>
      </c>
      <c r="EU7" s="52">
        <v>7.0000000000000001E-3</v>
      </c>
      <c r="EV7" s="24">
        <v>46</v>
      </c>
      <c r="EW7" s="24">
        <v>15140</v>
      </c>
      <c r="EX7" s="24">
        <v>622</v>
      </c>
      <c r="EY7" s="24">
        <v>3140</v>
      </c>
      <c r="EZ7" s="51">
        <v>0.24</v>
      </c>
    </row>
    <row r="8" spans="1:156" x14ac:dyDescent="0.25">
      <c r="A8" s="41" t="s">
        <v>149</v>
      </c>
      <c r="B8" s="24"/>
      <c r="C8" s="41"/>
      <c r="D8" s="41"/>
      <c r="E8" s="41"/>
      <c r="F8" s="52"/>
      <c r="G8" s="24">
        <v>2</v>
      </c>
      <c r="H8" s="41"/>
      <c r="I8" s="41">
        <v>219.49</v>
      </c>
      <c r="J8" s="41"/>
      <c r="K8" s="52">
        <v>0.01</v>
      </c>
      <c r="L8" s="24">
        <v>55</v>
      </c>
      <c r="M8" s="41">
        <v>99419.7</v>
      </c>
      <c r="N8" s="41">
        <v>4094.13</v>
      </c>
      <c r="O8" s="55">
        <v>79943.05</v>
      </c>
      <c r="P8" s="52">
        <v>0.38019999999999998</v>
      </c>
      <c r="Q8" s="24">
        <v>138</v>
      </c>
      <c r="R8" s="41">
        <v>32982.629999999997</v>
      </c>
      <c r="S8" s="41">
        <v>1788.12</v>
      </c>
      <c r="T8" s="41">
        <v>13382.8</v>
      </c>
      <c r="U8" s="50">
        <v>0.1215</v>
      </c>
      <c r="V8" s="24"/>
      <c r="W8" s="24"/>
      <c r="X8" s="24"/>
      <c r="Y8" s="24"/>
      <c r="Z8" s="52"/>
      <c r="AA8" s="24">
        <v>72</v>
      </c>
      <c r="AB8" s="24">
        <v>5844</v>
      </c>
      <c r="AC8" s="24">
        <v>815</v>
      </c>
      <c r="AD8" s="24">
        <v>7391</v>
      </c>
      <c r="AE8" s="52">
        <v>0.18540000000000001</v>
      </c>
      <c r="AF8" s="24">
        <v>3</v>
      </c>
      <c r="AG8" s="24">
        <v>1647</v>
      </c>
      <c r="AH8" s="41"/>
      <c r="AI8" s="41"/>
      <c r="AJ8" s="52">
        <v>0.16</v>
      </c>
      <c r="AK8" s="24">
        <v>3</v>
      </c>
      <c r="AL8" s="41"/>
      <c r="AM8" s="41">
        <v>180.37</v>
      </c>
      <c r="AN8" s="41"/>
      <c r="AO8" s="52">
        <v>0.02</v>
      </c>
      <c r="AP8" s="24">
        <v>60</v>
      </c>
      <c r="AQ8" s="24">
        <v>11837</v>
      </c>
      <c r="AR8" s="24">
        <v>1576</v>
      </c>
      <c r="AS8" s="24">
        <v>3040</v>
      </c>
      <c r="AT8" s="52">
        <v>0.22919999999999999</v>
      </c>
      <c r="AU8" s="24">
        <v>70</v>
      </c>
      <c r="AV8" s="24">
        <v>44759</v>
      </c>
      <c r="AW8" s="24"/>
      <c r="AX8" s="24">
        <v>2248</v>
      </c>
      <c r="AY8" s="52">
        <v>0.56220000000000003</v>
      </c>
      <c r="AZ8" s="24">
        <v>109</v>
      </c>
      <c r="BA8" s="24">
        <v>24892</v>
      </c>
      <c r="BB8" s="24">
        <v>1195</v>
      </c>
      <c r="BC8" s="24">
        <v>7787</v>
      </c>
      <c r="BD8" s="52">
        <v>8.5300000000000001E-2</v>
      </c>
      <c r="BE8" s="24">
        <v>150</v>
      </c>
      <c r="BF8" s="24">
        <v>54497</v>
      </c>
      <c r="BG8" s="24">
        <v>7670</v>
      </c>
      <c r="BH8" s="24">
        <v>21311</v>
      </c>
      <c r="BI8" s="51">
        <v>0.23830000000000001</v>
      </c>
      <c r="BJ8" s="24">
        <v>115</v>
      </c>
      <c r="BK8" s="41">
        <v>42915.37</v>
      </c>
      <c r="BL8" s="41">
        <v>1631.63</v>
      </c>
      <c r="BM8" s="41">
        <v>4835.66</v>
      </c>
      <c r="BN8" s="115">
        <v>0.35</v>
      </c>
      <c r="BO8" s="24"/>
      <c r="BP8" s="41"/>
      <c r="BQ8" s="41"/>
      <c r="BR8" s="41"/>
      <c r="BS8" s="52"/>
      <c r="BT8" s="24">
        <v>12</v>
      </c>
      <c r="BU8" s="41">
        <v>1648.28</v>
      </c>
      <c r="BV8" s="41">
        <v>650.29999999999995</v>
      </c>
      <c r="BW8" s="41">
        <v>11.39</v>
      </c>
      <c r="BX8" s="52"/>
      <c r="BY8" s="24">
        <v>19</v>
      </c>
      <c r="BZ8" s="24">
        <v>5015</v>
      </c>
      <c r="CA8" s="24">
        <v>180</v>
      </c>
      <c r="CB8" s="24">
        <v>16</v>
      </c>
      <c r="CC8" s="52">
        <v>0.17399999999999999</v>
      </c>
      <c r="CD8" s="24"/>
      <c r="CE8" s="41"/>
      <c r="CF8" s="41"/>
      <c r="CG8" s="41"/>
      <c r="CH8" s="52"/>
      <c r="CI8" s="24"/>
      <c r="CJ8" s="41"/>
      <c r="CK8" s="41"/>
      <c r="CL8" s="41"/>
      <c r="CM8" s="52"/>
      <c r="CN8" s="24">
        <v>157</v>
      </c>
      <c r="CO8" s="41">
        <v>1374.79</v>
      </c>
      <c r="CP8" s="41">
        <v>2909.22</v>
      </c>
      <c r="CQ8" s="41">
        <v>2945.55</v>
      </c>
      <c r="CR8" s="52">
        <v>8.0600000000000005E-2</v>
      </c>
      <c r="CS8" s="24"/>
      <c r="CT8" s="41"/>
      <c r="CU8" s="41"/>
      <c r="CV8" s="41"/>
      <c r="CW8" s="52"/>
      <c r="CX8" s="24">
        <v>4</v>
      </c>
      <c r="CY8" s="24"/>
      <c r="CZ8" s="24">
        <v>3</v>
      </c>
      <c r="DA8" s="41"/>
      <c r="DB8" s="52">
        <v>6.9999999999999999E-4</v>
      </c>
      <c r="DC8" s="24">
        <v>108</v>
      </c>
      <c r="DD8" s="24">
        <v>34383</v>
      </c>
      <c r="DE8" s="24">
        <v>3884</v>
      </c>
      <c r="DF8" s="24">
        <v>6353</v>
      </c>
      <c r="DG8" s="52">
        <v>0.17299999999999999</v>
      </c>
      <c r="DH8" s="24">
        <v>45</v>
      </c>
      <c r="DI8" s="41">
        <v>6174.57</v>
      </c>
      <c r="DJ8" s="41">
        <v>484</v>
      </c>
      <c r="DK8" s="41">
        <v>2106.71</v>
      </c>
      <c r="DL8" s="52">
        <v>0.1991</v>
      </c>
      <c r="DM8" s="64">
        <v>98</v>
      </c>
      <c r="DN8" s="55">
        <v>58694.44</v>
      </c>
      <c r="DO8" s="55">
        <v>2622</v>
      </c>
      <c r="DP8" s="55">
        <v>1366.61</v>
      </c>
      <c r="DQ8" s="52">
        <v>0.2586</v>
      </c>
      <c r="DR8" s="24">
        <v>12</v>
      </c>
      <c r="DS8" s="41">
        <v>640.77</v>
      </c>
      <c r="DT8" s="41">
        <v>532.44000000000005</v>
      </c>
      <c r="DU8" s="41">
        <v>3.49</v>
      </c>
      <c r="DV8" s="52">
        <v>0.14280000000000001</v>
      </c>
      <c r="DW8" s="24"/>
      <c r="DX8" s="41"/>
      <c r="DY8" s="41"/>
      <c r="DZ8" s="41"/>
      <c r="EA8" s="52"/>
      <c r="EB8" s="24">
        <v>98</v>
      </c>
      <c r="EC8" s="24">
        <v>9712</v>
      </c>
      <c r="ED8" s="24">
        <v>479</v>
      </c>
      <c r="EE8" s="24">
        <v>311</v>
      </c>
      <c r="EF8" s="51">
        <v>0.28000000000000003</v>
      </c>
      <c r="EG8" s="24">
        <v>202</v>
      </c>
      <c r="EH8" s="41">
        <v>16569.46</v>
      </c>
      <c r="EI8" s="41">
        <v>6938.55</v>
      </c>
      <c r="EJ8" s="41">
        <v>36341.449999999997</v>
      </c>
      <c r="EK8" s="52">
        <v>0.1653</v>
      </c>
      <c r="EL8" s="24"/>
      <c r="EM8" s="24">
        <v>1678.74</v>
      </c>
      <c r="EN8" s="24">
        <v>3949.2</v>
      </c>
      <c r="EO8" s="24">
        <v>4410.34</v>
      </c>
      <c r="EP8" s="52">
        <v>8.4599999999999995E-2</v>
      </c>
      <c r="EQ8" s="24">
        <v>106</v>
      </c>
      <c r="ER8" s="24">
        <v>2200</v>
      </c>
      <c r="ES8" s="24">
        <v>5694</v>
      </c>
      <c r="ET8" s="24">
        <v>6255</v>
      </c>
      <c r="EU8" s="52">
        <v>0.1009</v>
      </c>
      <c r="EV8" s="24">
        <v>15</v>
      </c>
      <c r="EW8" s="24">
        <v>9261</v>
      </c>
      <c r="EX8" s="24">
        <v>444</v>
      </c>
      <c r="EY8" s="24">
        <v>13</v>
      </c>
      <c r="EZ8" s="51">
        <v>0.12</v>
      </c>
    </row>
    <row r="9" spans="1:156" x14ac:dyDescent="0.25">
      <c r="A9" s="41" t="s">
        <v>150</v>
      </c>
      <c r="B9" s="24"/>
      <c r="C9" s="41"/>
      <c r="D9" s="41"/>
      <c r="E9" s="41"/>
      <c r="F9" s="52"/>
      <c r="G9" s="24"/>
      <c r="H9" s="41"/>
      <c r="I9" s="41"/>
      <c r="J9" s="41"/>
      <c r="K9" s="52"/>
      <c r="L9" s="24">
        <v>1</v>
      </c>
      <c r="M9" s="41">
        <v>2977.37</v>
      </c>
      <c r="N9" s="41">
        <v>82.4</v>
      </c>
      <c r="O9" s="41">
        <v>1072.71</v>
      </c>
      <c r="P9" s="52">
        <v>8.6E-3</v>
      </c>
      <c r="Q9" s="24"/>
      <c r="R9" s="41"/>
      <c r="S9" s="41"/>
      <c r="T9" s="41"/>
      <c r="U9" s="52"/>
      <c r="V9" s="24"/>
      <c r="W9" s="41"/>
      <c r="X9" s="41"/>
      <c r="Y9" s="41"/>
      <c r="Z9" s="52"/>
      <c r="AA9" s="24">
        <v>1</v>
      </c>
      <c r="AB9" s="24">
        <v>3</v>
      </c>
      <c r="AC9" s="24"/>
      <c r="AD9" s="24"/>
      <c r="AE9" s="52"/>
      <c r="AF9" s="24">
        <v>1</v>
      </c>
      <c r="AG9" s="41"/>
      <c r="AH9" s="41"/>
      <c r="AI9" s="41"/>
      <c r="AJ9" s="52"/>
      <c r="AK9" s="24"/>
      <c r="AL9" s="41"/>
      <c r="AM9" s="41"/>
      <c r="AN9" s="41"/>
      <c r="AO9" s="52"/>
      <c r="AP9" s="24">
        <v>14</v>
      </c>
      <c r="AQ9" s="24">
        <v>2192</v>
      </c>
      <c r="AR9" s="24">
        <v>509</v>
      </c>
      <c r="AS9" s="24">
        <v>27</v>
      </c>
      <c r="AT9" s="52">
        <v>3.7999999999999999E-2</v>
      </c>
      <c r="AU9" s="24">
        <v>2</v>
      </c>
      <c r="AV9" s="24">
        <v>11</v>
      </c>
      <c r="AW9" s="24"/>
      <c r="AX9" s="24"/>
      <c r="AY9" s="52">
        <v>1E-4</v>
      </c>
      <c r="AZ9" s="24">
        <v>6</v>
      </c>
      <c r="BA9" s="24">
        <v>32</v>
      </c>
      <c r="BB9" s="24"/>
      <c r="BC9" s="24">
        <v>18</v>
      </c>
      <c r="BD9" s="52">
        <v>1E-4</v>
      </c>
      <c r="BE9" s="24">
        <v>3</v>
      </c>
      <c r="BF9" s="24">
        <v>26</v>
      </c>
      <c r="BG9" s="24">
        <v>3</v>
      </c>
      <c r="BH9" s="24">
        <v>12</v>
      </c>
      <c r="BI9" s="51">
        <v>1E-4</v>
      </c>
      <c r="BJ9" s="24">
        <v>23</v>
      </c>
      <c r="BK9" s="41">
        <v>1909.95</v>
      </c>
      <c r="BL9" s="41">
        <v>253.19</v>
      </c>
      <c r="BM9" s="41">
        <v>30.46</v>
      </c>
      <c r="BN9" s="115">
        <v>0.02</v>
      </c>
      <c r="BO9" s="24">
        <v>1</v>
      </c>
      <c r="BP9" s="41"/>
      <c r="BQ9" s="41">
        <v>-0.49</v>
      </c>
      <c r="BR9" s="41"/>
      <c r="BS9" s="52"/>
      <c r="BT9" s="24"/>
      <c r="BU9" s="41"/>
      <c r="BV9" s="41"/>
      <c r="BW9" s="41"/>
      <c r="BX9" s="52"/>
      <c r="BY9" s="24">
        <v>5</v>
      </c>
      <c r="BZ9" s="24">
        <v>0</v>
      </c>
      <c r="CA9" s="24">
        <v>1</v>
      </c>
      <c r="CB9" s="41"/>
      <c r="CC9" s="52"/>
      <c r="CD9" s="24"/>
      <c r="CE9" s="41"/>
      <c r="CF9" s="41"/>
      <c r="CG9" s="41"/>
      <c r="CH9" s="52"/>
      <c r="CI9" s="24"/>
      <c r="CJ9" s="41"/>
      <c r="CK9" s="41"/>
      <c r="CL9" s="41"/>
      <c r="CM9" s="52"/>
      <c r="CN9" s="24">
        <v>18</v>
      </c>
      <c r="CO9" s="41">
        <v>1554.54</v>
      </c>
      <c r="CP9" s="41">
        <v>807.27</v>
      </c>
      <c r="CQ9" s="41">
        <v>572.41999999999996</v>
      </c>
      <c r="CR9" s="52">
        <v>3.27E-2</v>
      </c>
      <c r="CS9" s="24">
        <v>1</v>
      </c>
      <c r="CT9" s="41">
        <v>-8</v>
      </c>
      <c r="CU9" s="41"/>
      <c r="CV9" s="41"/>
      <c r="CW9" s="52">
        <v>-6.6E-3</v>
      </c>
      <c r="CX9" s="24">
        <v>2</v>
      </c>
      <c r="CY9" s="24"/>
      <c r="CZ9" s="24">
        <v>125</v>
      </c>
      <c r="DA9" s="41"/>
      <c r="DB9" s="52">
        <v>2.98E-2</v>
      </c>
      <c r="DC9" s="24">
        <v>8</v>
      </c>
      <c r="DD9" s="24">
        <v>7995</v>
      </c>
      <c r="DE9" s="24">
        <v>1715</v>
      </c>
      <c r="DF9" s="24">
        <v>665</v>
      </c>
      <c r="DG9" s="52">
        <v>4.02E-2</v>
      </c>
      <c r="DH9" s="24">
        <v>6</v>
      </c>
      <c r="DI9" s="41">
        <v>1573.85</v>
      </c>
      <c r="DJ9" s="41">
        <v>97.21</v>
      </c>
      <c r="DK9" s="41">
        <v>602.67999999999995</v>
      </c>
      <c r="DL9" s="52">
        <v>5.1700000000000003E-2</v>
      </c>
      <c r="DM9" s="64">
        <v>1</v>
      </c>
      <c r="DN9" s="55"/>
      <c r="DO9" s="55"/>
      <c r="DP9" s="55">
        <v>9</v>
      </c>
      <c r="DQ9" s="52">
        <v>0</v>
      </c>
      <c r="DR9" s="24">
        <v>6</v>
      </c>
      <c r="DS9" s="41">
        <v>264.13</v>
      </c>
      <c r="DT9" s="41">
        <v>125.29</v>
      </c>
      <c r="DU9" s="41"/>
      <c r="DV9" s="52">
        <v>4.7199999999999999E-2</v>
      </c>
      <c r="DW9" s="24"/>
      <c r="DX9" s="41"/>
      <c r="DY9" s="41"/>
      <c r="DZ9" s="41"/>
      <c r="EA9" s="52"/>
      <c r="EB9" s="24"/>
      <c r="EC9" s="24"/>
      <c r="ED9" s="24"/>
      <c r="EE9" s="24"/>
      <c r="EF9" s="52"/>
      <c r="EG9" s="24">
        <v>67</v>
      </c>
      <c r="EH9" s="41">
        <v>13202.6</v>
      </c>
      <c r="EI9" s="41">
        <v>6050.28</v>
      </c>
      <c r="EJ9" s="41">
        <v>9890.5300000000007</v>
      </c>
      <c r="EK9" s="52">
        <v>8.0500000000000002E-2</v>
      </c>
      <c r="EL9" s="24"/>
      <c r="EM9" s="24">
        <v>13.28</v>
      </c>
      <c r="EN9" s="24">
        <v>3.35</v>
      </c>
      <c r="EO9" s="24">
        <v>65.400000000000006</v>
      </c>
      <c r="EP9" s="52">
        <v>6.9999999999999999E-4</v>
      </c>
      <c r="EQ9" s="24">
        <v>30</v>
      </c>
      <c r="ER9" s="24">
        <v>14450</v>
      </c>
      <c r="ES9" s="24">
        <v>2590</v>
      </c>
      <c r="ET9" s="24">
        <v>8543</v>
      </c>
      <c r="EU9" s="52">
        <v>0.18240000000000001</v>
      </c>
      <c r="EV9" s="24">
        <v>4</v>
      </c>
      <c r="EW9" s="24">
        <v>370</v>
      </c>
      <c r="EX9" s="24">
        <v>54</v>
      </c>
      <c r="EY9" s="24">
        <v>447</v>
      </c>
      <c r="EZ9" s="51">
        <v>0.01</v>
      </c>
    </row>
    <row r="10" spans="1:156" x14ac:dyDescent="0.25">
      <c r="A10" s="41" t="s">
        <v>151</v>
      </c>
      <c r="B10" s="24"/>
      <c r="C10" s="41"/>
      <c r="D10" s="41"/>
      <c r="E10" s="41"/>
      <c r="F10" s="52"/>
      <c r="G10" s="24"/>
      <c r="H10" s="41"/>
      <c r="I10" s="41"/>
      <c r="J10" s="41"/>
      <c r="K10" s="52"/>
      <c r="L10" s="24"/>
      <c r="M10" s="41"/>
      <c r="N10" s="41"/>
      <c r="O10" s="50"/>
      <c r="P10" s="41"/>
      <c r="Q10" s="24"/>
      <c r="R10" s="41"/>
      <c r="S10" s="41"/>
      <c r="T10" s="41"/>
      <c r="U10" s="52"/>
      <c r="V10" s="24"/>
      <c r="W10" s="41"/>
      <c r="X10" s="41"/>
      <c r="Y10" s="41"/>
      <c r="Z10" s="52"/>
      <c r="AA10" s="24"/>
      <c r="AB10" s="41"/>
      <c r="AC10" s="41"/>
      <c r="AD10" s="41"/>
      <c r="AE10" s="52"/>
      <c r="AF10" s="24">
        <v>1</v>
      </c>
      <c r="AG10" s="41"/>
      <c r="AH10" s="41"/>
      <c r="AI10" s="41"/>
      <c r="AJ10" s="52"/>
      <c r="AK10" s="24"/>
      <c r="AL10" s="41"/>
      <c r="AM10" s="41"/>
      <c r="AN10" s="41"/>
      <c r="AO10" s="52"/>
      <c r="AP10" s="24">
        <v>1</v>
      </c>
      <c r="AQ10" s="24"/>
      <c r="AR10" s="41"/>
      <c r="AS10" s="41"/>
      <c r="AT10" s="52"/>
      <c r="AU10" s="24"/>
      <c r="AV10" s="41"/>
      <c r="AW10" s="41"/>
      <c r="AX10" s="41"/>
      <c r="AY10" s="52"/>
      <c r="AZ10" s="24"/>
      <c r="BA10" s="41"/>
      <c r="BB10" s="41"/>
      <c r="BC10" s="41"/>
      <c r="BD10" s="52"/>
      <c r="BE10" s="24">
        <v>8</v>
      </c>
      <c r="BF10" s="24">
        <v>43</v>
      </c>
      <c r="BG10" s="24">
        <v>16</v>
      </c>
      <c r="BH10" s="24">
        <v>16</v>
      </c>
      <c r="BI10" s="51">
        <v>2.0000000000000001E-4</v>
      </c>
      <c r="BJ10" s="24">
        <v>1</v>
      </c>
      <c r="BK10" s="41">
        <v>183.44</v>
      </c>
      <c r="BL10" s="41">
        <v>25.89</v>
      </c>
      <c r="BM10" s="41"/>
      <c r="BN10" s="52"/>
      <c r="BO10" s="24"/>
      <c r="BP10" s="41"/>
      <c r="BQ10" s="41"/>
      <c r="BR10" s="41"/>
      <c r="BS10" s="52"/>
      <c r="BT10" s="24">
        <v>1</v>
      </c>
      <c r="BU10" s="41"/>
      <c r="BV10" s="41"/>
      <c r="BW10" s="41"/>
      <c r="BX10" s="52"/>
      <c r="BY10" s="24">
        <v>7</v>
      </c>
      <c r="BZ10" s="24">
        <v>0.1</v>
      </c>
      <c r="CA10" s="24">
        <v>0</v>
      </c>
      <c r="CB10" s="41"/>
      <c r="CC10" s="52"/>
      <c r="CD10" s="24"/>
      <c r="CE10" s="41"/>
      <c r="CF10" s="41"/>
      <c r="CG10" s="41"/>
      <c r="CH10" s="52"/>
      <c r="CI10" s="24"/>
      <c r="CJ10" s="41"/>
      <c r="CK10" s="41"/>
      <c r="CL10" s="41"/>
      <c r="CM10" s="52"/>
      <c r="CN10" s="24">
        <v>73</v>
      </c>
      <c r="CO10" s="41">
        <v>7780.84</v>
      </c>
      <c r="CP10" s="41">
        <v>2036.13</v>
      </c>
      <c r="CQ10" s="41">
        <v>600.1</v>
      </c>
      <c r="CR10" s="52">
        <v>0.11609999999999999</v>
      </c>
      <c r="CS10" s="24"/>
      <c r="CT10" s="41"/>
      <c r="CU10" s="41"/>
      <c r="CV10" s="41"/>
      <c r="CW10" s="52"/>
      <c r="CX10" s="24"/>
      <c r="CY10" s="41"/>
      <c r="CZ10" s="41"/>
      <c r="DA10" s="41"/>
      <c r="DB10" s="52"/>
      <c r="DC10" s="24">
        <v>12</v>
      </c>
      <c r="DD10" s="24">
        <v>6097</v>
      </c>
      <c r="DE10" s="24">
        <v>635</v>
      </c>
      <c r="DF10" s="24">
        <v>239</v>
      </c>
      <c r="DG10" s="52">
        <v>2.7E-2</v>
      </c>
      <c r="DH10" s="24"/>
      <c r="DI10" s="41"/>
      <c r="DJ10" s="41"/>
      <c r="DK10" s="41"/>
      <c r="DL10" s="52"/>
      <c r="DM10" s="64">
        <v>1</v>
      </c>
      <c r="DN10" s="55">
        <v>14.23</v>
      </c>
      <c r="DO10" s="55"/>
      <c r="DP10" s="55">
        <v>0.3</v>
      </c>
      <c r="DQ10" s="52">
        <v>1E-4</v>
      </c>
      <c r="DR10" s="24">
        <v>11</v>
      </c>
      <c r="DS10" s="41">
        <v>373.81</v>
      </c>
      <c r="DT10" s="41">
        <v>257.01</v>
      </c>
      <c r="DU10" s="41">
        <v>13.46</v>
      </c>
      <c r="DV10" s="52">
        <v>7.8200000000000006E-2</v>
      </c>
      <c r="DW10" s="24"/>
      <c r="DX10" s="41"/>
      <c r="DY10" s="41"/>
      <c r="DZ10" s="41"/>
      <c r="EA10" s="52"/>
      <c r="EB10" s="24">
        <v>4</v>
      </c>
      <c r="EC10" s="24">
        <v>20</v>
      </c>
      <c r="ED10" s="24"/>
      <c r="EE10" s="24">
        <v>203</v>
      </c>
      <c r="EF10" s="52"/>
      <c r="EG10" s="24">
        <v>26</v>
      </c>
      <c r="EH10" s="41">
        <v>4258.34</v>
      </c>
      <c r="EI10" s="41">
        <v>1473.45</v>
      </c>
      <c r="EJ10" s="41">
        <v>71.5</v>
      </c>
      <c r="EK10" s="52">
        <v>1.6E-2</v>
      </c>
      <c r="EL10" s="24"/>
      <c r="EM10" s="24">
        <v>2672.7</v>
      </c>
      <c r="EN10" s="24">
        <v>1535.26</v>
      </c>
      <c r="EO10" s="24">
        <v>343.06</v>
      </c>
      <c r="EP10" s="52">
        <v>3.8300000000000001E-2</v>
      </c>
      <c r="EQ10" s="24">
        <v>30</v>
      </c>
      <c r="ER10" s="24">
        <v>696</v>
      </c>
      <c r="ES10" s="24">
        <v>506</v>
      </c>
      <c r="ET10" s="24">
        <v>353</v>
      </c>
      <c r="EU10" s="52">
        <v>1.11E-2</v>
      </c>
      <c r="EV10" s="24">
        <v>6</v>
      </c>
      <c r="EW10" s="24">
        <v>232</v>
      </c>
      <c r="EX10" s="24">
        <v>6</v>
      </c>
      <c r="EY10" s="24">
        <v>361</v>
      </c>
      <c r="EZ10" s="51">
        <v>0.01</v>
      </c>
    </row>
    <row r="11" spans="1:156" s="11" customFormat="1" x14ac:dyDescent="0.25">
      <c r="A11" s="65" t="s">
        <v>256</v>
      </c>
      <c r="B11" s="25">
        <f>B6+B7+B8+B9+B10</f>
        <v>0</v>
      </c>
      <c r="C11" s="25">
        <f t="shared" ref="C11:BN11" si="0">C6+C7+C8+C9+C10</f>
        <v>0</v>
      </c>
      <c r="D11" s="25">
        <f t="shared" si="0"/>
        <v>0</v>
      </c>
      <c r="E11" s="25">
        <f t="shared" si="0"/>
        <v>0</v>
      </c>
      <c r="F11" s="25">
        <f t="shared" si="0"/>
        <v>0</v>
      </c>
      <c r="G11" s="25">
        <f t="shared" si="0"/>
        <v>2</v>
      </c>
      <c r="H11" s="25">
        <f t="shared" si="0"/>
        <v>0</v>
      </c>
      <c r="I11" s="25">
        <f t="shared" si="0"/>
        <v>219.49</v>
      </c>
      <c r="J11" s="25">
        <f t="shared" si="0"/>
        <v>0</v>
      </c>
      <c r="K11" s="25">
        <f t="shared" si="0"/>
        <v>0.01</v>
      </c>
      <c r="L11" s="25">
        <f t="shared" si="0"/>
        <v>63</v>
      </c>
      <c r="M11" s="25">
        <f t="shared" si="0"/>
        <v>289694.98</v>
      </c>
      <c r="N11" s="25">
        <f t="shared" si="0"/>
        <v>4673.84</v>
      </c>
      <c r="O11" s="25">
        <f t="shared" si="0"/>
        <v>82517.560000000012</v>
      </c>
      <c r="P11" s="66">
        <f t="shared" si="0"/>
        <v>0.78110000000000002</v>
      </c>
      <c r="Q11" s="25">
        <f t="shared" si="0"/>
        <v>163</v>
      </c>
      <c r="R11" s="65">
        <f>R6+R7+R8+R9+R10</f>
        <v>77927.76999999999</v>
      </c>
      <c r="S11" s="25">
        <f t="shared" si="0"/>
        <v>1845.75</v>
      </c>
      <c r="T11" s="25">
        <f t="shared" si="0"/>
        <v>51030.47</v>
      </c>
      <c r="U11" s="66">
        <f t="shared" si="0"/>
        <v>0.32999999999999996</v>
      </c>
      <c r="V11" s="25">
        <f t="shared" si="0"/>
        <v>0</v>
      </c>
      <c r="W11" s="25">
        <f t="shared" si="0"/>
        <v>0</v>
      </c>
      <c r="X11" s="25">
        <f t="shared" si="0"/>
        <v>0</v>
      </c>
      <c r="Y11" s="25">
        <f t="shared" si="0"/>
        <v>0</v>
      </c>
      <c r="Z11" s="67">
        <f t="shared" si="0"/>
        <v>0</v>
      </c>
      <c r="AA11" s="25">
        <f t="shared" si="0"/>
        <v>77</v>
      </c>
      <c r="AB11" s="25">
        <f t="shared" si="0"/>
        <v>7557</v>
      </c>
      <c r="AC11" s="25">
        <f t="shared" si="0"/>
        <v>886</v>
      </c>
      <c r="AD11" s="25">
        <f t="shared" si="0"/>
        <v>7391</v>
      </c>
      <c r="AE11" s="66">
        <f t="shared" si="0"/>
        <v>0.2089</v>
      </c>
      <c r="AF11" s="25">
        <f t="shared" si="0"/>
        <v>5</v>
      </c>
      <c r="AG11" s="25">
        <f t="shared" si="0"/>
        <v>1647</v>
      </c>
      <c r="AH11" s="25">
        <f t="shared" si="0"/>
        <v>0</v>
      </c>
      <c r="AI11" s="25">
        <f t="shared" si="0"/>
        <v>0</v>
      </c>
      <c r="AJ11" s="67">
        <f t="shared" si="0"/>
        <v>0.16</v>
      </c>
      <c r="AK11" s="25">
        <f t="shared" si="0"/>
        <v>3</v>
      </c>
      <c r="AL11" s="25">
        <f t="shared" si="0"/>
        <v>0</v>
      </c>
      <c r="AM11" s="25">
        <f t="shared" si="0"/>
        <v>180.37</v>
      </c>
      <c r="AN11" s="25">
        <f t="shared" si="0"/>
        <v>0</v>
      </c>
      <c r="AO11" s="67">
        <f t="shared" si="0"/>
        <v>0.02</v>
      </c>
      <c r="AP11" s="25">
        <f t="shared" si="0"/>
        <v>76</v>
      </c>
      <c r="AQ11" s="25">
        <f t="shared" si="0"/>
        <v>16514</v>
      </c>
      <c r="AR11" s="25">
        <f t="shared" si="0"/>
        <v>2076</v>
      </c>
      <c r="AS11" s="25">
        <f t="shared" si="0"/>
        <v>3080</v>
      </c>
      <c r="AT11" s="66">
        <f t="shared" si="0"/>
        <v>0.30189999999999995</v>
      </c>
      <c r="AU11" s="25">
        <f t="shared" si="0"/>
        <v>75</v>
      </c>
      <c r="AV11" s="25">
        <f t="shared" si="0"/>
        <v>63576</v>
      </c>
      <c r="AW11" s="25">
        <f t="shared" si="0"/>
        <v>0</v>
      </c>
      <c r="AX11" s="25">
        <f t="shared" si="0"/>
        <v>2337</v>
      </c>
      <c r="AY11" s="66">
        <f t="shared" si="0"/>
        <v>0.7883</v>
      </c>
      <c r="AZ11" s="25">
        <f t="shared" si="0"/>
        <v>129</v>
      </c>
      <c r="BA11" s="25">
        <f t="shared" si="0"/>
        <v>25137</v>
      </c>
      <c r="BB11" s="25">
        <f t="shared" si="0"/>
        <v>1296</v>
      </c>
      <c r="BC11" s="25">
        <f t="shared" si="0"/>
        <v>8918</v>
      </c>
      <c r="BD11" s="66">
        <f t="shared" si="0"/>
        <v>8.900000000000001E-2</v>
      </c>
      <c r="BE11" s="25">
        <f t="shared" si="0"/>
        <v>198</v>
      </c>
      <c r="BF11" s="25">
        <f t="shared" si="0"/>
        <v>71742</v>
      </c>
      <c r="BG11" s="25">
        <f t="shared" si="0"/>
        <v>7977</v>
      </c>
      <c r="BH11" s="25">
        <f t="shared" si="0"/>
        <v>24963</v>
      </c>
      <c r="BI11" s="67">
        <f t="shared" si="0"/>
        <v>0.29879999999999995</v>
      </c>
      <c r="BJ11" s="25">
        <f t="shared" si="0"/>
        <v>144</v>
      </c>
      <c r="BK11" s="25">
        <f t="shared" si="0"/>
        <v>53624.37</v>
      </c>
      <c r="BL11" s="25">
        <f t="shared" si="0"/>
        <v>1910.7700000000002</v>
      </c>
      <c r="BM11" s="25">
        <f t="shared" si="0"/>
        <v>5407.24</v>
      </c>
      <c r="BN11" s="67">
        <f t="shared" si="0"/>
        <v>0.43</v>
      </c>
      <c r="BO11" s="25">
        <f t="shared" ref="BO11:DZ11" si="1">BO6+BO7+BO8+BO9+BO10</f>
        <v>1</v>
      </c>
      <c r="BP11" s="25">
        <f t="shared" si="1"/>
        <v>0</v>
      </c>
      <c r="BQ11" s="25">
        <f t="shared" si="1"/>
        <v>-0.49</v>
      </c>
      <c r="BR11" s="25">
        <f t="shared" si="1"/>
        <v>0</v>
      </c>
      <c r="BS11" s="25">
        <f t="shared" si="1"/>
        <v>0</v>
      </c>
      <c r="BT11" s="25">
        <f t="shared" si="1"/>
        <v>15</v>
      </c>
      <c r="BU11" s="25">
        <f t="shared" si="1"/>
        <v>1653.06</v>
      </c>
      <c r="BV11" s="25">
        <f t="shared" si="1"/>
        <v>650.29999999999995</v>
      </c>
      <c r="BW11" s="25">
        <f t="shared" si="1"/>
        <v>11.39</v>
      </c>
      <c r="BX11" s="67">
        <f t="shared" si="1"/>
        <v>0</v>
      </c>
      <c r="BY11" s="25">
        <f t="shared" si="1"/>
        <v>37</v>
      </c>
      <c r="BZ11" s="25">
        <f t="shared" si="1"/>
        <v>5061.1000000000004</v>
      </c>
      <c r="CA11" s="25">
        <f t="shared" si="1"/>
        <v>202</v>
      </c>
      <c r="CB11" s="25">
        <f t="shared" si="1"/>
        <v>16</v>
      </c>
      <c r="CC11" s="66">
        <f t="shared" si="1"/>
        <v>0.17599999999999999</v>
      </c>
      <c r="CD11" s="25">
        <f t="shared" si="1"/>
        <v>0</v>
      </c>
      <c r="CE11" s="25">
        <f t="shared" si="1"/>
        <v>0</v>
      </c>
      <c r="CF11" s="25">
        <f t="shared" si="1"/>
        <v>0</v>
      </c>
      <c r="CG11" s="25">
        <f t="shared" si="1"/>
        <v>0</v>
      </c>
      <c r="CH11" s="25">
        <f t="shared" si="1"/>
        <v>0</v>
      </c>
      <c r="CI11" s="25">
        <f t="shared" si="1"/>
        <v>0</v>
      </c>
      <c r="CJ11" s="25">
        <f t="shared" si="1"/>
        <v>0</v>
      </c>
      <c r="CK11" s="25">
        <f t="shared" si="1"/>
        <v>0</v>
      </c>
      <c r="CL11" s="25">
        <f t="shared" si="1"/>
        <v>0</v>
      </c>
      <c r="CM11" s="25">
        <f t="shared" si="1"/>
        <v>0</v>
      </c>
      <c r="CN11" s="25">
        <f t="shared" si="1"/>
        <v>249</v>
      </c>
      <c r="CO11" s="25">
        <f t="shared" si="1"/>
        <v>10710.17</v>
      </c>
      <c r="CP11" s="25">
        <f t="shared" si="1"/>
        <v>5752.62</v>
      </c>
      <c r="CQ11" s="25">
        <f t="shared" si="1"/>
        <v>4214.4900000000007</v>
      </c>
      <c r="CR11" s="66">
        <f t="shared" si="1"/>
        <v>0.23049999999999998</v>
      </c>
      <c r="CS11" s="25">
        <f t="shared" si="1"/>
        <v>1</v>
      </c>
      <c r="CT11" s="25">
        <f t="shared" si="1"/>
        <v>-8</v>
      </c>
      <c r="CU11" s="25">
        <f t="shared" si="1"/>
        <v>0</v>
      </c>
      <c r="CV11" s="25">
        <f t="shared" si="1"/>
        <v>0</v>
      </c>
      <c r="CW11" s="25">
        <f t="shared" si="1"/>
        <v>-6.6E-3</v>
      </c>
      <c r="CX11" s="25">
        <f t="shared" si="1"/>
        <v>7</v>
      </c>
      <c r="CY11" s="25">
        <f t="shared" si="1"/>
        <v>0</v>
      </c>
      <c r="CZ11" s="65">
        <f t="shared" si="1"/>
        <v>129</v>
      </c>
      <c r="DA11" s="25">
        <f t="shared" si="1"/>
        <v>0</v>
      </c>
      <c r="DB11" s="66">
        <f t="shared" si="1"/>
        <v>3.0800000000000001E-2</v>
      </c>
      <c r="DC11" s="25">
        <f t="shared" si="1"/>
        <v>150</v>
      </c>
      <c r="DD11" s="25">
        <f t="shared" si="1"/>
        <v>52862</v>
      </c>
      <c r="DE11" s="25">
        <f t="shared" si="1"/>
        <v>6555</v>
      </c>
      <c r="DF11" s="25">
        <f t="shared" si="1"/>
        <v>8788</v>
      </c>
      <c r="DG11" s="66">
        <f t="shared" si="1"/>
        <v>0.26440000000000002</v>
      </c>
      <c r="DH11" s="25">
        <f t="shared" si="1"/>
        <v>52</v>
      </c>
      <c r="DI11" s="65">
        <f t="shared" si="1"/>
        <v>8510.82</v>
      </c>
      <c r="DJ11" s="65">
        <f t="shared" si="1"/>
        <v>641.84</v>
      </c>
      <c r="DK11" s="65">
        <f t="shared" si="1"/>
        <v>2709.39</v>
      </c>
      <c r="DL11" s="66">
        <f t="shared" si="1"/>
        <v>0.26950000000000002</v>
      </c>
      <c r="DM11" s="25">
        <f t="shared" si="1"/>
        <v>115</v>
      </c>
      <c r="DN11" s="65">
        <f t="shared" si="1"/>
        <v>102707.93000000001</v>
      </c>
      <c r="DO11" s="65">
        <f t="shared" si="1"/>
        <v>3040.1</v>
      </c>
      <c r="DP11" s="65">
        <f t="shared" si="1"/>
        <v>1746.4099999999999</v>
      </c>
      <c r="DQ11" s="66">
        <f t="shared" si="1"/>
        <v>0.44350000000000001</v>
      </c>
      <c r="DR11" s="25">
        <f t="shared" si="1"/>
        <v>29</v>
      </c>
      <c r="DS11" s="65">
        <f t="shared" si="1"/>
        <v>1278.71</v>
      </c>
      <c r="DT11" s="65">
        <f t="shared" si="1"/>
        <v>914.74</v>
      </c>
      <c r="DU11" s="65">
        <f t="shared" si="1"/>
        <v>16.950000000000003</v>
      </c>
      <c r="DV11" s="66">
        <f t="shared" si="1"/>
        <v>0.26819999999999999</v>
      </c>
      <c r="DW11" s="25">
        <f t="shared" si="1"/>
        <v>0</v>
      </c>
      <c r="DX11" s="25">
        <f t="shared" si="1"/>
        <v>0</v>
      </c>
      <c r="DY11" s="25">
        <f t="shared" si="1"/>
        <v>0</v>
      </c>
      <c r="DZ11" s="25">
        <f t="shared" si="1"/>
        <v>0</v>
      </c>
      <c r="EA11" s="25">
        <f t="shared" ref="EA11:EZ11" si="2">EA6+EA7+EA8+EA9+EA10</f>
        <v>0</v>
      </c>
      <c r="EB11" s="25">
        <f t="shared" si="2"/>
        <v>120</v>
      </c>
      <c r="EC11" s="25">
        <f t="shared" si="2"/>
        <v>50598</v>
      </c>
      <c r="ED11" s="25">
        <f t="shared" si="2"/>
        <v>2789</v>
      </c>
      <c r="EE11" s="25">
        <f t="shared" si="2"/>
        <v>15273</v>
      </c>
      <c r="EF11" s="67">
        <f t="shared" si="2"/>
        <v>0.33</v>
      </c>
      <c r="EG11" s="25">
        <f t="shared" si="2"/>
        <v>309</v>
      </c>
      <c r="EH11" s="25">
        <f t="shared" si="2"/>
        <v>35823.919999999998</v>
      </c>
      <c r="EI11" s="25">
        <f t="shared" si="2"/>
        <v>15134.03</v>
      </c>
      <c r="EJ11" s="25">
        <f t="shared" si="2"/>
        <v>49314.17</v>
      </c>
      <c r="EK11" s="67">
        <f t="shared" si="2"/>
        <v>0.27690000000000003</v>
      </c>
      <c r="EL11" s="25">
        <f t="shared" si="2"/>
        <v>0</v>
      </c>
      <c r="EM11" s="25">
        <f t="shared" si="2"/>
        <v>11299.54</v>
      </c>
      <c r="EN11" s="25">
        <f t="shared" si="2"/>
        <v>5661.67</v>
      </c>
      <c r="EO11" s="25">
        <f t="shared" si="2"/>
        <v>4828.84</v>
      </c>
      <c r="EP11" s="66">
        <f t="shared" si="2"/>
        <v>0.18360000000000001</v>
      </c>
      <c r="EQ11" s="25">
        <f t="shared" si="2"/>
        <v>179</v>
      </c>
      <c r="ER11" s="25">
        <f t="shared" si="2"/>
        <v>17398</v>
      </c>
      <c r="ES11" s="25">
        <f t="shared" si="2"/>
        <v>9674</v>
      </c>
      <c r="ET11" s="25">
        <f t="shared" si="2"/>
        <v>15328</v>
      </c>
      <c r="EU11" s="25">
        <f t="shared" si="2"/>
        <v>0.30230000000000001</v>
      </c>
      <c r="EV11" s="25">
        <f t="shared" si="2"/>
        <v>71</v>
      </c>
      <c r="EW11" s="25">
        <f t="shared" si="2"/>
        <v>25003</v>
      </c>
      <c r="EX11" s="25">
        <f t="shared" si="2"/>
        <v>1126</v>
      </c>
      <c r="EY11" s="25">
        <f t="shared" si="2"/>
        <v>3961</v>
      </c>
      <c r="EZ11" s="67">
        <f t="shared" si="2"/>
        <v>0.38</v>
      </c>
    </row>
    <row r="12" spans="1:156" x14ac:dyDescent="0.25">
      <c r="A12" s="68" t="s">
        <v>257</v>
      </c>
      <c r="B12" s="24"/>
      <c r="C12" s="41"/>
      <c r="D12" s="41"/>
      <c r="E12" s="41"/>
      <c r="F12" s="52"/>
      <c r="G12" s="24"/>
      <c r="H12" s="41"/>
      <c r="I12" s="41"/>
      <c r="J12" s="41"/>
      <c r="K12" s="52"/>
      <c r="L12" s="24"/>
      <c r="M12" s="41"/>
      <c r="N12" s="41"/>
      <c r="O12" s="50"/>
      <c r="P12" s="41"/>
      <c r="Q12" s="24"/>
      <c r="R12" s="41"/>
      <c r="S12" s="41"/>
      <c r="T12" s="41"/>
      <c r="U12" s="52"/>
      <c r="V12" s="24"/>
      <c r="W12" s="41"/>
      <c r="X12" s="41"/>
      <c r="Y12" s="41"/>
      <c r="Z12" s="52"/>
      <c r="AA12" s="24"/>
      <c r="AB12" s="41"/>
      <c r="AC12" s="41"/>
      <c r="AD12" s="41"/>
      <c r="AE12" s="52"/>
      <c r="AF12" s="24"/>
      <c r="AG12" s="41"/>
      <c r="AH12" s="41"/>
      <c r="AI12" s="41"/>
      <c r="AJ12" s="52"/>
      <c r="AK12" s="24"/>
      <c r="AL12" s="41"/>
      <c r="AM12" s="41"/>
      <c r="AN12" s="41"/>
      <c r="AO12" s="52"/>
      <c r="AP12" s="24"/>
      <c r="AQ12" s="41"/>
      <c r="AR12" s="41"/>
      <c r="AS12" s="41"/>
      <c r="AT12" s="52"/>
      <c r="AU12" s="24"/>
      <c r="AV12" s="41"/>
      <c r="AW12" s="41"/>
      <c r="AX12" s="41"/>
      <c r="AY12" s="52"/>
      <c r="AZ12" s="24"/>
      <c r="BA12" s="41"/>
      <c r="BB12" s="41"/>
      <c r="BC12" s="41"/>
      <c r="BD12" s="52"/>
      <c r="BE12" s="24"/>
      <c r="BF12" s="41"/>
      <c r="BG12" s="41"/>
      <c r="BH12" s="41"/>
      <c r="BI12" s="52"/>
      <c r="BJ12" s="24"/>
      <c r="BK12" s="41"/>
      <c r="BL12" s="41"/>
      <c r="BM12" s="41"/>
      <c r="BN12" s="52"/>
      <c r="BO12" s="24"/>
      <c r="BP12" s="41"/>
      <c r="BQ12" s="41"/>
      <c r="BR12" s="41"/>
      <c r="BS12" s="52"/>
      <c r="BT12" s="24"/>
      <c r="BU12" s="41"/>
      <c r="BV12" s="41"/>
      <c r="BW12" s="41"/>
      <c r="BX12" s="52"/>
      <c r="BY12" s="24"/>
      <c r="BZ12" s="41"/>
      <c r="CA12" s="41"/>
      <c r="CB12" s="41"/>
      <c r="CC12" s="52"/>
      <c r="CD12" s="24"/>
      <c r="CE12" s="41"/>
      <c r="CF12" s="41"/>
      <c r="CG12" s="41"/>
      <c r="CH12" s="52"/>
      <c r="CI12" s="24"/>
      <c r="CJ12" s="41"/>
      <c r="CK12" s="41"/>
      <c r="CL12" s="41"/>
      <c r="CM12" s="52"/>
      <c r="CN12" s="24"/>
      <c r="CO12" s="41"/>
      <c r="CP12" s="41"/>
      <c r="CQ12" s="41"/>
      <c r="CR12" s="52"/>
      <c r="CS12" s="24"/>
      <c r="CT12" s="41"/>
      <c r="CU12" s="41"/>
      <c r="CV12" s="41"/>
      <c r="CW12" s="52"/>
      <c r="CX12" s="24"/>
      <c r="CY12" s="41"/>
      <c r="CZ12" s="41"/>
      <c r="DA12" s="41"/>
      <c r="DB12" s="52"/>
      <c r="DC12" s="24"/>
      <c r="DD12" s="41"/>
      <c r="DE12" s="41"/>
      <c r="DF12" s="41"/>
      <c r="DG12" s="55"/>
      <c r="DH12" s="24"/>
      <c r="DI12" s="41"/>
      <c r="DJ12" s="41"/>
      <c r="DK12" s="41"/>
      <c r="DL12" s="52"/>
      <c r="DM12" s="64"/>
      <c r="DN12" s="55"/>
      <c r="DO12" s="55"/>
      <c r="DP12" s="55"/>
      <c r="DQ12" s="52"/>
      <c r="DR12" s="24"/>
      <c r="DS12" s="41"/>
      <c r="DT12" s="41"/>
      <c r="DU12" s="41"/>
      <c r="DV12" s="52"/>
      <c r="DW12" s="24"/>
      <c r="DX12" s="41"/>
      <c r="DY12" s="41"/>
      <c r="DZ12" s="41"/>
      <c r="EA12" s="52"/>
      <c r="EB12" s="24"/>
      <c r="EC12" s="41"/>
      <c r="ED12" s="41"/>
      <c r="EE12" s="41"/>
      <c r="EF12" s="52"/>
      <c r="EG12" s="24"/>
      <c r="EH12" s="41"/>
      <c r="EI12" s="41"/>
      <c r="EJ12" s="41"/>
      <c r="EK12" s="52"/>
      <c r="EL12" s="41"/>
      <c r="EM12" s="41"/>
      <c r="EN12" s="41"/>
      <c r="EO12" s="41"/>
      <c r="EP12" s="52"/>
      <c r="EQ12" s="24"/>
      <c r="ER12" s="41"/>
      <c r="ES12" s="41"/>
      <c r="ET12" s="41"/>
      <c r="EU12" s="52"/>
      <c r="EV12" s="24"/>
      <c r="EW12" s="41"/>
      <c r="EX12" s="41"/>
      <c r="EY12" s="41"/>
      <c r="EZ12" s="52"/>
    </row>
    <row r="13" spans="1:156" x14ac:dyDescent="0.25">
      <c r="A13" s="69" t="s">
        <v>258</v>
      </c>
      <c r="B13" s="24"/>
      <c r="C13" s="41"/>
      <c r="D13" s="41"/>
      <c r="E13" s="41"/>
      <c r="F13" s="52"/>
      <c r="G13" s="24"/>
      <c r="H13" s="41"/>
      <c r="I13" s="41"/>
      <c r="J13" s="41"/>
      <c r="K13" s="52"/>
      <c r="L13" s="24">
        <v>1</v>
      </c>
      <c r="M13" s="41"/>
      <c r="N13" s="41">
        <v>248.06</v>
      </c>
      <c r="O13" s="41">
        <v>3891.18</v>
      </c>
      <c r="P13" s="52">
        <v>8.6E-3</v>
      </c>
      <c r="Q13" s="24">
        <v>20</v>
      </c>
      <c r="R13"/>
      <c r="S13" s="41"/>
      <c r="T13" s="41">
        <v>12629.87</v>
      </c>
      <c r="U13" s="50">
        <v>3.1899999999999998E-2</v>
      </c>
      <c r="V13" s="24"/>
      <c r="W13" s="41"/>
      <c r="X13" s="41"/>
      <c r="Y13" s="41"/>
      <c r="Z13" s="52"/>
      <c r="AA13" s="24">
        <v>12</v>
      </c>
      <c r="AB13" s="24"/>
      <c r="AC13" s="24"/>
      <c r="AD13" s="24">
        <v>2007</v>
      </c>
      <c r="AE13" s="52">
        <v>2.6499999999999999E-2</v>
      </c>
      <c r="AF13" s="24">
        <v>3</v>
      </c>
      <c r="AG13" s="41"/>
      <c r="AH13" s="41"/>
      <c r="AI13" s="41"/>
      <c r="AJ13" s="52"/>
      <c r="AK13" s="24">
        <v>5</v>
      </c>
      <c r="AL13" s="41"/>
      <c r="AM13" s="41"/>
      <c r="AN13" s="41">
        <v>82.22</v>
      </c>
      <c r="AO13" s="52">
        <v>0.01</v>
      </c>
      <c r="AP13" s="24">
        <v>14</v>
      </c>
      <c r="AQ13" s="24"/>
      <c r="AR13" s="41"/>
      <c r="AS13" s="24">
        <v>747</v>
      </c>
      <c r="AT13" s="52">
        <v>1.04E-2</v>
      </c>
      <c r="AU13" s="24">
        <v>4</v>
      </c>
      <c r="AV13" s="24"/>
      <c r="AW13" s="24"/>
      <c r="AX13" s="24">
        <v>936</v>
      </c>
      <c r="AY13" s="52">
        <v>1.12E-2</v>
      </c>
      <c r="AZ13" s="24">
        <v>21</v>
      </c>
      <c r="BA13" s="41"/>
      <c r="BB13" s="24"/>
      <c r="BC13" s="24">
        <v>7456</v>
      </c>
      <c r="BD13" s="52">
        <v>1.8800000000000001E-2</v>
      </c>
      <c r="BE13" s="24">
        <v>20</v>
      </c>
      <c r="BF13" s="24"/>
      <c r="BG13" s="24"/>
      <c r="BH13" s="24">
        <v>19083</v>
      </c>
      <c r="BI13" s="51">
        <v>5.45E-2</v>
      </c>
      <c r="BJ13" s="24">
        <v>14</v>
      </c>
      <c r="BK13" s="41"/>
      <c r="BL13" s="41"/>
      <c r="BM13" s="41">
        <v>4852.53</v>
      </c>
      <c r="BN13" s="115">
        <v>0.03</v>
      </c>
      <c r="BO13" s="24">
        <v>7</v>
      </c>
      <c r="BP13" s="24"/>
      <c r="BQ13" s="24"/>
      <c r="BR13" s="24">
        <v>3</v>
      </c>
      <c r="BS13" s="52">
        <v>6.0000000000000001E-3</v>
      </c>
      <c r="BT13" s="24"/>
      <c r="BU13" s="41"/>
      <c r="BV13" s="41"/>
      <c r="BW13" s="41"/>
      <c r="BX13" s="52"/>
      <c r="BY13" s="24">
        <v>4</v>
      </c>
      <c r="BZ13" s="41"/>
      <c r="CA13" s="41"/>
      <c r="CB13" s="24">
        <v>68</v>
      </c>
      <c r="CC13" s="52">
        <v>2E-3</v>
      </c>
      <c r="CD13" s="24"/>
      <c r="CE13" s="41"/>
      <c r="CF13" s="41"/>
      <c r="CG13" s="41"/>
      <c r="CH13" s="52"/>
      <c r="CI13" s="24"/>
      <c r="CJ13" s="41"/>
      <c r="CK13" s="41"/>
      <c r="CL13" s="41"/>
      <c r="CM13" s="52"/>
      <c r="CN13" s="24">
        <v>22</v>
      </c>
      <c r="CO13" s="41">
        <v>245.08</v>
      </c>
      <c r="CP13" s="24"/>
      <c r="CQ13" s="41">
        <v>34890.31</v>
      </c>
      <c r="CR13" s="52">
        <v>0.3916</v>
      </c>
      <c r="CS13" s="24">
        <v>1</v>
      </c>
      <c r="CT13" s="41"/>
      <c r="CU13" s="41"/>
      <c r="CV13" s="24">
        <v>770</v>
      </c>
      <c r="CW13" s="52">
        <v>0.64939999999999998</v>
      </c>
      <c r="CX13" s="24">
        <v>2</v>
      </c>
      <c r="CY13" s="41"/>
      <c r="CZ13" s="41"/>
      <c r="DA13" s="24">
        <v>8</v>
      </c>
      <c r="DB13" s="52">
        <v>2E-3</v>
      </c>
      <c r="DC13" s="24">
        <v>20</v>
      </c>
      <c r="DD13" s="24"/>
      <c r="DE13" s="24"/>
      <c r="DF13" s="24">
        <v>7701</v>
      </c>
      <c r="DG13" s="52">
        <v>2.9899999999999999E-2</v>
      </c>
      <c r="DH13" s="24">
        <v>6</v>
      </c>
      <c r="DI13" s="41"/>
      <c r="DJ13" s="41"/>
      <c r="DK13" s="41">
        <v>221.89</v>
      </c>
      <c r="DL13" s="52">
        <v>5.0000000000000001E-3</v>
      </c>
      <c r="DM13" s="64">
        <v>18</v>
      </c>
      <c r="DN13" s="55"/>
      <c r="DO13" s="55"/>
      <c r="DP13" s="55">
        <v>18972.34</v>
      </c>
      <c r="DQ13" s="52">
        <v>7.8299999999999995E-2</v>
      </c>
      <c r="DR13" s="24">
        <v>4</v>
      </c>
      <c r="DS13" s="41"/>
      <c r="DT13" s="41"/>
      <c r="DU13" s="41">
        <v>59.73</v>
      </c>
      <c r="DV13" s="52">
        <v>7.1999999999999998E-3</v>
      </c>
      <c r="DW13" s="24"/>
      <c r="DX13" s="41"/>
      <c r="DY13" s="41"/>
      <c r="DZ13" s="41"/>
      <c r="EA13" s="52"/>
      <c r="EB13" s="24">
        <v>12</v>
      </c>
      <c r="EC13" s="24"/>
      <c r="ED13" s="24"/>
      <c r="EE13" s="24">
        <v>6685</v>
      </c>
      <c r="EF13" s="51">
        <v>0.02</v>
      </c>
      <c r="EG13" s="24">
        <v>18</v>
      </c>
      <c r="EH13" s="41">
        <v>908.32</v>
      </c>
      <c r="EI13" s="41"/>
      <c r="EJ13" s="41">
        <v>50217.23</v>
      </c>
      <c r="EK13" s="52">
        <v>0.14119999999999999</v>
      </c>
      <c r="EL13" s="24"/>
      <c r="EM13" s="24">
        <v>235.25</v>
      </c>
      <c r="EN13" s="41"/>
      <c r="EO13" s="24">
        <v>6659.54</v>
      </c>
      <c r="EP13" s="52">
        <v>5.8099999999999999E-2</v>
      </c>
      <c r="EQ13" s="24">
        <v>23</v>
      </c>
      <c r="ER13" s="24">
        <v>70892</v>
      </c>
      <c r="ES13" s="24">
        <v>10989</v>
      </c>
      <c r="ET13" s="24">
        <v>15963</v>
      </c>
      <c r="EU13" s="52">
        <v>0.69769999999999999</v>
      </c>
      <c r="EV13" s="24">
        <v>1</v>
      </c>
      <c r="EW13" s="24"/>
      <c r="EX13" s="24"/>
      <c r="EY13" s="24">
        <v>2025</v>
      </c>
      <c r="EZ13" s="51">
        <v>0.03</v>
      </c>
    </row>
    <row r="14" spans="1:156" x14ac:dyDescent="0.25">
      <c r="A14" s="69" t="s">
        <v>259</v>
      </c>
      <c r="B14" s="24">
        <v>1</v>
      </c>
      <c r="C14" s="24">
        <v>2868</v>
      </c>
      <c r="D14" s="24">
        <v>224</v>
      </c>
      <c r="E14" s="24"/>
      <c r="F14" s="52">
        <v>0.81799999999999995</v>
      </c>
      <c r="G14" s="24">
        <v>2</v>
      </c>
      <c r="H14" s="41">
        <v>16613.16</v>
      </c>
      <c r="I14" s="41"/>
      <c r="J14" s="41"/>
      <c r="K14" s="52">
        <v>0.75490000000000002</v>
      </c>
      <c r="L14" s="24">
        <v>6</v>
      </c>
      <c r="M14" s="41">
        <v>43276.41</v>
      </c>
      <c r="N14" s="41">
        <v>1644.36</v>
      </c>
      <c r="O14" s="41">
        <v>20078.05</v>
      </c>
      <c r="P14" s="52">
        <v>0.13469999999999999</v>
      </c>
      <c r="Q14" s="24">
        <v>8</v>
      </c>
      <c r="R14" s="41">
        <v>94011.65</v>
      </c>
      <c r="S14" s="41">
        <v>4671.62</v>
      </c>
      <c r="T14" s="41">
        <v>6696.96</v>
      </c>
      <c r="U14" s="50">
        <v>0.26590000000000003</v>
      </c>
      <c r="V14" s="24">
        <v>1</v>
      </c>
      <c r="W14" s="24">
        <v>243</v>
      </c>
      <c r="X14" s="41"/>
      <c r="Y14" s="41"/>
      <c r="Z14" s="52">
        <v>7.7000000000000002E-3</v>
      </c>
      <c r="AA14" s="24">
        <v>7</v>
      </c>
      <c r="AB14" s="24">
        <v>36726</v>
      </c>
      <c r="AC14" s="24">
        <v>604</v>
      </c>
      <c r="AD14" s="24">
        <v>690</v>
      </c>
      <c r="AE14" s="52">
        <v>0.50160000000000005</v>
      </c>
      <c r="AF14" s="24">
        <v>3</v>
      </c>
      <c r="AG14" s="24">
        <v>4127</v>
      </c>
      <c r="AH14" s="41"/>
      <c r="AI14" s="41"/>
      <c r="AJ14" s="52">
        <v>0.41</v>
      </c>
      <c r="AK14" s="24">
        <v>3</v>
      </c>
      <c r="AL14" s="41">
        <v>5659.43</v>
      </c>
      <c r="AM14" s="41"/>
      <c r="AN14" s="41"/>
      <c r="AO14" s="52">
        <v>0.63</v>
      </c>
      <c r="AP14" s="24">
        <v>9</v>
      </c>
      <c r="AQ14" s="24">
        <v>14411</v>
      </c>
      <c r="AR14" s="24">
        <v>3735</v>
      </c>
      <c r="AS14" s="24">
        <v>311</v>
      </c>
      <c r="AT14" s="52">
        <v>0.2571</v>
      </c>
      <c r="AU14" s="24">
        <v>6</v>
      </c>
      <c r="AV14" s="24">
        <v>2691</v>
      </c>
      <c r="AW14" s="24"/>
      <c r="AX14" s="24">
        <v>1060</v>
      </c>
      <c r="AY14" s="52">
        <v>4.4900000000000002E-2</v>
      </c>
      <c r="AZ14" s="24">
        <v>9</v>
      </c>
      <c r="BA14" s="24">
        <v>226547</v>
      </c>
      <c r="BB14" s="24">
        <v>4878</v>
      </c>
      <c r="BC14" s="24">
        <v>22009</v>
      </c>
      <c r="BD14" s="52">
        <v>0.63819999999999999</v>
      </c>
      <c r="BE14" s="24">
        <v>9</v>
      </c>
      <c r="BF14" s="24">
        <v>90213</v>
      </c>
      <c r="BG14" s="24">
        <v>4106</v>
      </c>
      <c r="BH14" s="24">
        <v>7525</v>
      </c>
      <c r="BI14" s="51">
        <v>0.29070000000000001</v>
      </c>
      <c r="BJ14" s="24">
        <v>7</v>
      </c>
      <c r="BK14" s="41">
        <v>11199.9</v>
      </c>
      <c r="BL14" s="41">
        <v>1238.9100000000001</v>
      </c>
      <c r="BM14" s="41">
        <v>1482.21</v>
      </c>
      <c r="BN14" s="115">
        <v>0.1</v>
      </c>
      <c r="BO14" s="24">
        <v>4</v>
      </c>
      <c r="BP14" s="24">
        <v>6193</v>
      </c>
      <c r="BQ14" s="24">
        <v>158</v>
      </c>
      <c r="BR14" s="24">
        <v>91</v>
      </c>
      <c r="BS14" s="52">
        <v>0.53500000000000003</v>
      </c>
      <c r="BT14" s="24">
        <v>6</v>
      </c>
      <c r="BU14" s="41">
        <v>897.05</v>
      </c>
      <c r="BV14" s="41">
        <v>616.45000000000005</v>
      </c>
      <c r="BW14" s="41">
        <v>28.71</v>
      </c>
      <c r="BX14" s="52">
        <v>0.125</v>
      </c>
      <c r="BY14" s="24">
        <v>6</v>
      </c>
      <c r="BZ14" s="24">
        <v>10162</v>
      </c>
      <c r="CA14" s="24">
        <v>129</v>
      </c>
      <c r="CB14" s="24">
        <v>36</v>
      </c>
      <c r="CC14" s="52">
        <v>0.34399999999999997</v>
      </c>
      <c r="CD14" s="24">
        <v>1</v>
      </c>
      <c r="CE14" s="41">
        <v>61.41</v>
      </c>
      <c r="CF14" s="41">
        <v>38.18</v>
      </c>
      <c r="CG14" s="41">
        <v>9.4</v>
      </c>
      <c r="CH14" s="52">
        <v>4.3099999999999999E-2</v>
      </c>
      <c r="CI14" s="24">
        <v>4</v>
      </c>
      <c r="CJ14" s="24">
        <v>27768</v>
      </c>
      <c r="CK14" s="24">
        <v>30</v>
      </c>
      <c r="CL14" s="41"/>
      <c r="CM14" s="51">
        <v>0.7</v>
      </c>
      <c r="CN14" s="24">
        <v>5</v>
      </c>
      <c r="CO14" s="41">
        <v>307.75</v>
      </c>
      <c r="CP14" s="41">
        <v>1591.16</v>
      </c>
      <c r="CQ14" s="41">
        <v>516.29</v>
      </c>
      <c r="CR14" s="52">
        <v>2.69E-2</v>
      </c>
      <c r="CS14" s="24">
        <v>3</v>
      </c>
      <c r="CT14" s="24">
        <v>-4</v>
      </c>
      <c r="CU14" s="24"/>
      <c r="CV14" s="41"/>
      <c r="CW14" s="52">
        <v>-3.2000000000000002E-3</v>
      </c>
      <c r="CX14" s="24">
        <v>4</v>
      </c>
      <c r="CY14" s="41"/>
      <c r="CZ14" s="24">
        <v>20</v>
      </c>
      <c r="DA14" s="24">
        <v>5</v>
      </c>
      <c r="DB14" s="52">
        <v>6.0000000000000001E-3</v>
      </c>
      <c r="DC14" s="24">
        <v>9</v>
      </c>
      <c r="DD14" s="24">
        <v>26284</v>
      </c>
      <c r="DE14" s="24">
        <v>844</v>
      </c>
      <c r="DF14" s="24">
        <v>1623</v>
      </c>
      <c r="DG14" s="52">
        <v>0.1115</v>
      </c>
      <c r="DH14" s="24">
        <v>6</v>
      </c>
      <c r="DI14" s="41">
        <v>15195.51</v>
      </c>
      <c r="DJ14" s="41">
        <v>517.04999999999995</v>
      </c>
      <c r="DK14" s="41">
        <v>487.64</v>
      </c>
      <c r="DL14" s="52">
        <v>0.36799999999999999</v>
      </c>
      <c r="DM14" s="64">
        <v>8</v>
      </c>
      <c r="DN14" s="55">
        <v>54475.81</v>
      </c>
      <c r="DO14" s="55">
        <v>2190.0300000000002</v>
      </c>
      <c r="DP14" s="55">
        <v>1728.49</v>
      </c>
      <c r="DQ14" s="52">
        <v>0.24099999999999999</v>
      </c>
      <c r="DR14" s="24">
        <v>2</v>
      </c>
      <c r="DS14" s="41">
        <v>29.99</v>
      </c>
      <c r="DT14" s="41"/>
      <c r="DU14" s="41"/>
      <c r="DV14" s="52">
        <v>3.5999999999999999E-3</v>
      </c>
      <c r="DW14" s="24">
        <v>3</v>
      </c>
      <c r="DX14" s="41"/>
      <c r="DY14" s="24">
        <v>3781</v>
      </c>
      <c r="DZ14" s="41"/>
      <c r="EA14" s="52">
        <v>0.14000000000000001</v>
      </c>
      <c r="EB14" s="24">
        <v>8</v>
      </c>
      <c r="EC14" s="24">
        <v>66046</v>
      </c>
      <c r="ED14" s="24">
        <v>4608</v>
      </c>
      <c r="EE14" s="24">
        <v>6519</v>
      </c>
      <c r="EF14" s="51">
        <v>0.37</v>
      </c>
      <c r="EG14" s="24">
        <v>8</v>
      </c>
      <c r="EH14" s="41">
        <v>1413.68</v>
      </c>
      <c r="EI14" s="41">
        <v>4312.03</v>
      </c>
      <c r="EJ14" s="41">
        <v>31173.16</v>
      </c>
      <c r="EK14" s="52">
        <v>0.1019</v>
      </c>
      <c r="EL14" s="24"/>
      <c r="EM14" s="24">
        <v>1099.01</v>
      </c>
      <c r="EN14" s="24">
        <v>984.42</v>
      </c>
      <c r="EO14" s="24">
        <v>1684.6</v>
      </c>
      <c r="EP14" s="52">
        <v>3.1699999999999999E-2</v>
      </c>
      <c r="EQ14" s="24"/>
      <c r="ER14" s="41"/>
      <c r="ES14" s="41"/>
      <c r="ET14" s="41"/>
      <c r="EU14" s="52"/>
      <c r="EV14" s="24">
        <v>6</v>
      </c>
      <c r="EW14" s="24">
        <v>8207</v>
      </c>
      <c r="EX14" s="24">
        <v>249</v>
      </c>
      <c r="EY14" s="24">
        <v>9</v>
      </c>
      <c r="EZ14" s="51">
        <v>0.11</v>
      </c>
    </row>
    <row r="15" spans="1:156" x14ac:dyDescent="0.25">
      <c r="A15" s="69" t="s">
        <v>260</v>
      </c>
      <c r="B15" s="24">
        <v>1</v>
      </c>
      <c r="C15" s="24">
        <v>13651</v>
      </c>
      <c r="D15" s="24">
        <v>224</v>
      </c>
      <c r="E15" s="24">
        <v>3</v>
      </c>
      <c r="F15" s="52">
        <v>0.182</v>
      </c>
      <c r="G15" s="24">
        <v>1</v>
      </c>
      <c r="H15" s="41">
        <v>5142.82</v>
      </c>
      <c r="I15" s="41">
        <v>30.66</v>
      </c>
      <c r="J15" s="41"/>
      <c r="K15" s="52">
        <v>0.2351</v>
      </c>
      <c r="L15" s="24">
        <v>1</v>
      </c>
      <c r="M15" s="41">
        <v>35666.400000000001</v>
      </c>
      <c r="N15" s="41">
        <v>844.92</v>
      </c>
      <c r="O15" s="50"/>
      <c r="P15" s="52">
        <v>7.5700000000000003E-2</v>
      </c>
      <c r="Q15" s="24">
        <v>1</v>
      </c>
      <c r="R15" s="41">
        <v>142096.62</v>
      </c>
      <c r="S15" s="41">
        <v>4732.4799999999996</v>
      </c>
      <c r="T15" s="41">
        <v>690.93</v>
      </c>
      <c r="U15" s="50">
        <v>0.37219999999999998</v>
      </c>
      <c r="V15" s="24">
        <v>1</v>
      </c>
      <c r="W15" s="24">
        <v>30884</v>
      </c>
      <c r="X15" s="24">
        <v>416</v>
      </c>
      <c r="Y15" s="41"/>
      <c r="Z15" s="52">
        <v>0.98780000000000001</v>
      </c>
      <c r="AA15" s="24">
        <v>1</v>
      </c>
      <c r="AB15" s="24">
        <v>19044</v>
      </c>
      <c r="AC15" s="24">
        <v>730</v>
      </c>
      <c r="AD15" s="24">
        <v>167</v>
      </c>
      <c r="AE15" s="52">
        <v>0.2631</v>
      </c>
      <c r="AF15" s="24">
        <v>1</v>
      </c>
      <c r="AG15" s="24">
        <v>4224</v>
      </c>
      <c r="AH15" s="41"/>
      <c r="AI15" s="41"/>
      <c r="AJ15" s="52">
        <v>0.42</v>
      </c>
      <c r="AK15" s="24">
        <v>1</v>
      </c>
      <c r="AL15" s="41">
        <v>2751.31</v>
      </c>
      <c r="AM15" s="41">
        <v>292.92</v>
      </c>
      <c r="AN15" s="41"/>
      <c r="AO15" s="52">
        <v>0.34</v>
      </c>
      <c r="AP15" s="24">
        <v>1</v>
      </c>
      <c r="AQ15" s="24">
        <v>29109</v>
      </c>
      <c r="AR15" s="24">
        <v>1713</v>
      </c>
      <c r="AS15" s="24">
        <v>92</v>
      </c>
      <c r="AT15" s="52">
        <v>0.43059999999999998</v>
      </c>
      <c r="AU15" s="24">
        <v>1</v>
      </c>
      <c r="AV15" s="24">
        <v>12994</v>
      </c>
      <c r="AW15" s="24"/>
      <c r="AX15" s="24">
        <v>0.1</v>
      </c>
      <c r="AY15" s="52">
        <v>0.15540000000000001</v>
      </c>
      <c r="AZ15" s="24">
        <v>1</v>
      </c>
      <c r="BA15" s="24">
        <v>92038</v>
      </c>
      <c r="BB15" s="24">
        <v>4016</v>
      </c>
      <c r="BC15" s="24">
        <v>4833</v>
      </c>
      <c r="BD15" s="52">
        <v>0.254</v>
      </c>
      <c r="BE15" s="24">
        <v>1</v>
      </c>
      <c r="BF15" s="24">
        <v>115064</v>
      </c>
      <c r="BG15" s="24">
        <v>5473</v>
      </c>
      <c r="BH15" s="24">
        <v>4166</v>
      </c>
      <c r="BI15" s="51">
        <v>0.35599999999999998</v>
      </c>
      <c r="BJ15" s="24">
        <v>1</v>
      </c>
      <c r="BK15" s="41">
        <v>48509.79</v>
      </c>
      <c r="BL15" s="41">
        <v>4078.71</v>
      </c>
      <c r="BM15" s="41">
        <v>9046.24</v>
      </c>
      <c r="BN15" s="115">
        <v>0.44</v>
      </c>
      <c r="BO15" s="24">
        <v>1</v>
      </c>
      <c r="BP15" s="24">
        <v>7464</v>
      </c>
      <c r="BQ15" s="24">
        <v>331</v>
      </c>
      <c r="BR15" s="24">
        <v>4</v>
      </c>
      <c r="BS15" s="52">
        <v>0.45800000000000002</v>
      </c>
      <c r="BT15" s="24">
        <v>1</v>
      </c>
      <c r="BU15" s="41">
        <v>7694.89</v>
      </c>
      <c r="BV15" s="41">
        <v>781.42</v>
      </c>
      <c r="BW15" s="41"/>
      <c r="BX15" s="52">
        <v>0.68730000000000002</v>
      </c>
      <c r="BY15" s="24">
        <v>1</v>
      </c>
      <c r="BZ15" s="24">
        <v>13855</v>
      </c>
      <c r="CA15" s="24">
        <v>423</v>
      </c>
      <c r="CB15" s="24">
        <v>44</v>
      </c>
      <c r="CC15" s="52">
        <v>0.47699999999999998</v>
      </c>
      <c r="CD15" s="24">
        <v>1</v>
      </c>
      <c r="CE15" s="41">
        <v>2394.25</v>
      </c>
      <c r="CF15" s="41">
        <v>28.25</v>
      </c>
      <c r="CG15" s="41"/>
      <c r="CH15" s="52">
        <v>0.95689999999999997</v>
      </c>
      <c r="CI15" s="24">
        <v>1</v>
      </c>
      <c r="CJ15" s="24">
        <v>11764</v>
      </c>
      <c r="CK15" s="24">
        <v>30</v>
      </c>
      <c r="CL15" s="41"/>
      <c r="CM15" s="51">
        <v>0.3</v>
      </c>
      <c r="CN15" s="24">
        <v>1</v>
      </c>
      <c r="CO15" s="41">
        <v>30497.49</v>
      </c>
      <c r="CP15" s="41">
        <v>5174.13</v>
      </c>
      <c r="CQ15" s="41">
        <v>-4176.8500000000004</v>
      </c>
      <c r="CR15" s="52">
        <v>0.35099999999999998</v>
      </c>
      <c r="CS15" s="24">
        <v>1</v>
      </c>
      <c r="CT15" s="24">
        <v>149</v>
      </c>
      <c r="CU15" s="24">
        <v>278</v>
      </c>
      <c r="CV15" s="41"/>
      <c r="CW15" s="52">
        <v>0.3604</v>
      </c>
      <c r="CX15" s="24">
        <v>1</v>
      </c>
      <c r="CY15" s="24">
        <v>2588</v>
      </c>
      <c r="CZ15" s="24">
        <v>1361</v>
      </c>
      <c r="DA15" s="24">
        <v>93</v>
      </c>
      <c r="DB15" s="52">
        <v>0.96120000000000005</v>
      </c>
      <c r="DC15" s="24">
        <v>1</v>
      </c>
      <c r="DD15" s="24">
        <v>142023</v>
      </c>
      <c r="DE15" s="24">
        <v>6861</v>
      </c>
      <c r="DF15" s="24">
        <v>4387</v>
      </c>
      <c r="DG15" s="52">
        <v>0.59419999999999995</v>
      </c>
      <c r="DH15" s="24">
        <v>1</v>
      </c>
      <c r="DI15" s="41">
        <v>15039.09</v>
      </c>
      <c r="DJ15" s="41">
        <v>429.48</v>
      </c>
      <c r="DK15" s="41">
        <v>268.64</v>
      </c>
      <c r="DL15" s="52">
        <v>0.35749999999999998</v>
      </c>
      <c r="DM15" s="64">
        <v>1</v>
      </c>
      <c r="DN15" s="55">
        <v>52850.91</v>
      </c>
      <c r="DO15" s="55">
        <v>4412.46</v>
      </c>
      <c r="DP15" s="55">
        <v>224.01</v>
      </c>
      <c r="DQ15" s="52">
        <v>0.23719999999999999</v>
      </c>
      <c r="DR15" s="24">
        <v>1</v>
      </c>
      <c r="DS15" s="41">
        <v>5248.3</v>
      </c>
      <c r="DT15" s="41">
        <v>688.77</v>
      </c>
      <c r="DU15" s="41">
        <v>5.21</v>
      </c>
      <c r="DV15" s="52">
        <v>0.72089999999999999</v>
      </c>
      <c r="DW15" s="24">
        <v>1</v>
      </c>
      <c r="DX15" s="24">
        <v>22614</v>
      </c>
      <c r="DY15" s="24">
        <v>959</v>
      </c>
      <c r="DZ15" s="41"/>
      <c r="EA15" s="52">
        <v>0.86</v>
      </c>
      <c r="EB15" s="24">
        <v>1</v>
      </c>
      <c r="EC15" s="24">
        <v>48950</v>
      </c>
      <c r="ED15" s="24">
        <v>1830</v>
      </c>
      <c r="EE15" s="24">
        <v>4507</v>
      </c>
      <c r="EF15" s="51">
        <v>0.28000000000000003</v>
      </c>
      <c r="EG15" s="24">
        <v>1</v>
      </c>
      <c r="EH15" s="41">
        <v>126094.8</v>
      </c>
      <c r="EI15" s="41">
        <v>15696.44</v>
      </c>
      <c r="EJ15" s="41">
        <v>15169.94</v>
      </c>
      <c r="EK15" s="52">
        <v>0.43359999999999999</v>
      </c>
      <c r="EL15" s="24"/>
      <c r="EM15" s="24">
        <v>53262.33</v>
      </c>
      <c r="EN15" s="24">
        <v>6339.18</v>
      </c>
      <c r="EO15" s="24">
        <v>17015.490000000002</v>
      </c>
      <c r="EP15" s="52">
        <v>0.64539999999999997</v>
      </c>
      <c r="EQ15" s="24"/>
      <c r="ER15" s="41"/>
      <c r="ES15" s="41"/>
      <c r="ET15" s="41"/>
      <c r="EU15" s="52"/>
      <c r="EV15" s="24">
        <v>1</v>
      </c>
      <c r="EW15" s="24">
        <v>36317</v>
      </c>
      <c r="EX15" s="24">
        <v>1422</v>
      </c>
      <c r="EY15" s="24">
        <v>56</v>
      </c>
      <c r="EZ15" s="51">
        <v>0.48</v>
      </c>
    </row>
    <row r="16" spans="1:156" x14ac:dyDescent="0.25">
      <c r="A16" s="41" t="s">
        <v>31</v>
      </c>
      <c r="B16" s="24"/>
      <c r="C16" s="41"/>
      <c r="D16" s="41"/>
      <c r="E16" s="41"/>
      <c r="F16" s="52"/>
      <c r="G16" s="24"/>
      <c r="H16" s="41"/>
      <c r="I16" s="41"/>
      <c r="J16" s="41"/>
      <c r="K16" s="52"/>
      <c r="L16" s="24"/>
      <c r="M16" s="41"/>
      <c r="N16" s="41"/>
      <c r="O16" s="50"/>
      <c r="P16" s="41"/>
      <c r="Q16" s="24"/>
      <c r="R16" s="41"/>
      <c r="S16" s="41"/>
      <c r="T16" s="41"/>
      <c r="U16" s="52"/>
      <c r="V16" s="24">
        <v>1</v>
      </c>
      <c r="W16" s="41"/>
      <c r="X16" s="41"/>
      <c r="Y16" s="41">
        <v>143</v>
      </c>
      <c r="Z16" s="52">
        <v>4.4999999999999997E-3</v>
      </c>
      <c r="AA16" s="24"/>
      <c r="AB16" s="41"/>
      <c r="AC16" s="41"/>
      <c r="AD16" s="41"/>
      <c r="AE16" s="52"/>
      <c r="AF16" s="24"/>
      <c r="AG16" s="41"/>
      <c r="AH16" s="41"/>
      <c r="AI16" s="41"/>
      <c r="AJ16" s="52"/>
      <c r="AK16" s="24"/>
      <c r="AL16" s="41"/>
      <c r="AM16" s="41"/>
      <c r="AN16" s="41"/>
      <c r="AO16" s="52"/>
      <c r="AP16" s="24"/>
      <c r="AQ16" s="41"/>
      <c r="AR16" s="41"/>
      <c r="AS16" s="41"/>
      <c r="AT16" s="52"/>
      <c r="AU16" s="24"/>
      <c r="AV16" s="41"/>
      <c r="AW16" s="41"/>
      <c r="AX16" s="41"/>
      <c r="AY16" s="52"/>
      <c r="AZ16" s="24"/>
      <c r="BA16" s="41"/>
      <c r="BB16" s="41"/>
      <c r="BC16" s="41"/>
      <c r="BD16" s="52"/>
      <c r="BE16" s="24"/>
      <c r="BF16" s="41"/>
      <c r="BG16" s="41"/>
      <c r="BH16" s="41"/>
      <c r="BI16" s="52"/>
      <c r="BJ16" s="24"/>
      <c r="BK16" s="41"/>
      <c r="BL16" s="41"/>
      <c r="BM16" s="41"/>
      <c r="BN16" s="52"/>
      <c r="BO16" s="24"/>
      <c r="BP16" s="41"/>
      <c r="BQ16" s="41"/>
      <c r="BR16" s="41"/>
      <c r="BS16" s="52"/>
      <c r="BT16" s="24"/>
      <c r="BU16" s="41"/>
      <c r="BV16" s="41"/>
      <c r="BW16" s="41"/>
      <c r="BX16" s="52"/>
      <c r="BY16" s="24"/>
      <c r="BZ16" s="41"/>
      <c r="CA16" s="41"/>
      <c r="CB16" s="41"/>
      <c r="CC16" s="52"/>
      <c r="CD16" s="24"/>
      <c r="CE16" s="41"/>
      <c r="CF16" s="41"/>
      <c r="CG16" s="41"/>
      <c r="CH16" s="52"/>
      <c r="CI16" s="24"/>
      <c r="CJ16" s="41"/>
      <c r="CK16" s="41"/>
      <c r="CL16" s="41"/>
      <c r="CM16" s="52"/>
      <c r="CN16" s="24"/>
      <c r="CO16" s="41"/>
      <c r="CP16" s="41"/>
      <c r="CQ16" s="41"/>
      <c r="CR16" s="50"/>
      <c r="CS16" s="24"/>
      <c r="CT16" s="41"/>
      <c r="CU16" s="41"/>
      <c r="CV16" s="41"/>
      <c r="CW16" s="52"/>
      <c r="CX16" s="24"/>
      <c r="CY16" s="41"/>
      <c r="CZ16" s="41"/>
      <c r="DA16" s="41"/>
      <c r="DB16" s="52"/>
      <c r="DC16" s="24"/>
      <c r="DD16" s="41"/>
      <c r="DE16" s="41"/>
      <c r="DF16" s="41"/>
      <c r="DG16" s="52"/>
      <c r="DH16" s="24"/>
      <c r="DI16" s="41"/>
      <c r="DJ16" s="41"/>
      <c r="DK16" s="41"/>
      <c r="DL16" s="52"/>
      <c r="DM16" s="64"/>
      <c r="DN16" s="55"/>
      <c r="DO16" s="55"/>
      <c r="DP16" s="55"/>
      <c r="DQ16" s="52"/>
      <c r="DR16" s="24"/>
      <c r="DS16" s="41"/>
      <c r="DT16" s="41"/>
      <c r="DU16" s="41"/>
      <c r="DV16" s="41"/>
      <c r="DW16" s="24"/>
      <c r="DX16" s="41"/>
      <c r="DY16" s="41"/>
      <c r="DZ16" s="41"/>
      <c r="EA16" s="52"/>
      <c r="EB16" s="24"/>
      <c r="EC16" s="41"/>
      <c r="ED16" s="41"/>
      <c r="EE16" s="41"/>
      <c r="EF16" s="52"/>
      <c r="EG16" s="24">
        <v>2</v>
      </c>
      <c r="EH16" s="41">
        <v>16762.490000000002</v>
      </c>
      <c r="EI16" s="41"/>
      <c r="EJ16" s="41"/>
      <c r="EK16" s="52">
        <v>4.6300000000000001E-2</v>
      </c>
      <c r="EL16" s="24"/>
      <c r="EM16" s="24">
        <v>7689.3</v>
      </c>
      <c r="EN16" s="24"/>
      <c r="EO16" s="70"/>
      <c r="EP16" s="52">
        <v>6.4799999999999996E-2</v>
      </c>
      <c r="EQ16" s="24"/>
      <c r="ER16" s="41"/>
      <c r="ES16" s="41"/>
      <c r="ET16" s="41"/>
      <c r="EU16" s="52"/>
      <c r="EV16" s="24"/>
      <c r="EW16" s="41"/>
      <c r="EX16" s="41"/>
      <c r="EY16" s="41"/>
      <c r="EZ16" s="52"/>
    </row>
    <row r="17" spans="1:156" s="11" customFormat="1" x14ac:dyDescent="0.25">
      <c r="A17" s="65" t="s">
        <v>261</v>
      </c>
      <c r="B17" s="71">
        <f t="shared" ref="B17:BM17" si="3">B13+B14+B15+B16</f>
        <v>2</v>
      </c>
      <c r="C17" s="72">
        <f t="shared" si="3"/>
        <v>16519</v>
      </c>
      <c r="D17" s="72">
        <f t="shared" si="3"/>
        <v>448</v>
      </c>
      <c r="E17" s="72">
        <f t="shared" si="3"/>
        <v>3</v>
      </c>
      <c r="F17" s="71">
        <f t="shared" si="3"/>
        <v>1</v>
      </c>
      <c r="G17" s="71">
        <f t="shared" si="3"/>
        <v>3</v>
      </c>
      <c r="H17" s="71">
        <f t="shared" si="3"/>
        <v>21755.98</v>
      </c>
      <c r="I17" s="71">
        <f t="shared" si="3"/>
        <v>30.66</v>
      </c>
      <c r="J17" s="71">
        <f t="shared" si="3"/>
        <v>0</v>
      </c>
      <c r="K17" s="67">
        <f t="shared" si="3"/>
        <v>0.99</v>
      </c>
      <c r="L17" s="71">
        <f t="shared" si="3"/>
        <v>8</v>
      </c>
      <c r="M17" s="71">
        <f t="shared" si="3"/>
        <v>78942.81</v>
      </c>
      <c r="N17" s="71">
        <f t="shared" si="3"/>
        <v>2737.3399999999997</v>
      </c>
      <c r="O17" s="71">
        <f t="shared" si="3"/>
        <v>23969.23</v>
      </c>
      <c r="P17" s="66">
        <f t="shared" si="3"/>
        <v>0.21899999999999997</v>
      </c>
      <c r="Q17" s="71">
        <f t="shared" si="3"/>
        <v>29</v>
      </c>
      <c r="R17" s="72">
        <f t="shared" si="3"/>
        <v>236108.27</v>
      </c>
      <c r="S17" s="72">
        <f t="shared" si="3"/>
        <v>9404.0999999999985</v>
      </c>
      <c r="T17" s="72">
        <f t="shared" si="3"/>
        <v>20017.760000000002</v>
      </c>
      <c r="U17" s="66">
        <f t="shared" si="3"/>
        <v>0.66999999999999993</v>
      </c>
      <c r="V17" s="71">
        <f t="shared" si="3"/>
        <v>3</v>
      </c>
      <c r="W17" s="71">
        <f t="shared" si="3"/>
        <v>31127</v>
      </c>
      <c r="X17" s="71">
        <f t="shared" si="3"/>
        <v>416</v>
      </c>
      <c r="Y17" s="71">
        <f t="shared" si="3"/>
        <v>143</v>
      </c>
      <c r="Z17" s="67">
        <f t="shared" si="3"/>
        <v>1</v>
      </c>
      <c r="AA17" s="71">
        <f t="shared" si="3"/>
        <v>20</v>
      </c>
      <c r="AB17" s="71">
        <f t="shared" si="3"/>
        <v>55770</v>
      </c>
      <c r="AC17" s="71">
        <f t="shared" si="3"/>
        <v>1334</v>
      </c>
      <c r="AD17" s="71">
        <f t="shared" si="3"/>
        <v>2864</v>
      </c>
      <c r="AE17" s="66">
        <f t="shared" si="3"/>
        <v>0.79120000000000001</v>
      </c>
      <c r="AF17" s="71">
        <f t="shared" si="3"/>
        <v>7</v>
      </c>
      <c r="AG17" s="71">
        <f t="shared" si="3"/>
        <v>8351</v>
      </c>
      <c r="AH17" s="71">
        <f t="shared" si="3"/>
        <v>0</v>
      </c>
      <c r="AI17" s="71">
        <f t="shared" si="3"/>
        <v>0</v>
      </c>
      <c r="AJ17" s="67">
        <f t="shared" si="3"/>
        <v>0.83</v>
      </c>
      <c r="AK17" s="71">
        <f t="shared" si="3"/>
        <v>9</v>
      </c>
      <c r="AL17" s="71">
        <f t="shared" si="3"/>
        <v>8410.74</v>
      </c>
      <c r="AM17" s="71">
        <f t="shared" si="3"/>
        <v>292.92</v>
      </c>
      <c r="AN17" s="71">
        <f t="shared" si="3"/>
        <v>82.22</v>
      </c>
      <c r="AO17" s="67">
        <f t="shared" si="3"/>
        <v>0.98</v>
      </c>
      <c r="AP17" s="71">
        <f t="shared" si="3"/>
        <v>24</v>
      </c>
      <c r="AQ17" s="71">
        <f t="shared" si="3"/>
        <v>43520</v>
      </c>
      <c r="AR17" s="71">
        <f t="shared" si="3"/>
        <v>5448</v>
      </c>
      <c r="AS17" s="71">
        <f t="shared" si="3"/>
        <v>1150</v>
      </c>
      <c r="AT17" s="66">
        <f t="shared" si="3"/>
        <v>0.69809999999999994</v>
      </c>
      <c r="AU17" s="71">
        <f t="shared" si="3"/>
        <v>11</v>
      </c>
      <c r="AV17" s="71">
        <f t="shared" si="3"/>
        <v>15685</v>
      </c>
      <c r="AW17" s="71">
        <f t="shared" si="3"/>
        <v>0</v>
      </c>
      <c r="AX17" s="71">
        <f t="shared" si="3"/>
        <v>1996.1</v>
      </c>
      <c r="AY17" s="66">
        <f t="shared" si="3"/>
        <v>0.21150000000000002</v>
      </c>
      <c r="AZ17" s="71">
        <f t="shared" si="3"/>
        <v>31</v>
      </c>
      <c r="BA17" s="71">
        <f t="shared" si="3"/>
        <v>318585</v>
      </c>
      <c r="BB17" s="71">
        <f t="shared" si="3"/>
        <v>8894</v>
      </c>
      <c r="BC17" s="71">
        <f t="shared" si="3"/>
        <v>34298</v>
      </c>
      <c r="BD17" s="66">
        <f t="shared" si="3"/>
        <v>0.91100000000000003</v>
      </c>
      <c r="BE17" s="71">
        <f t="shared" si="3"/>
        <v>30</v>
      </c>
      <c r="BF17" s="71">
        <f t="shared" si="3"/>
        <v>205277</v>
      </c>
      <c r="BG17" s="71">
        <f t="shared" si="3"/>
        <v>9579</v>
      </c>
      <c r="BH17" s="71">
        <f t="shared" si="3"/>
        <v>30774</v>
      </c>
      <c r="BI17" s="67">
        <f t="shared" si="3"/>
        <v>0.70120000000000005</v>
      </c>
      <c r="BJ17" s="71">
        <f t="shared" si="3"/>
        <v>22</v>
      </c>
      <c r="BK17" s="71">
        <f t="shared" si="3"/>
        <v>59709.69</v>
      </c>
      <c r="BL17" s="71">
        <f t="shared" si="3"/>
        <v>5317.62</v>
      </c>
      <c r="BM17" s="71">
        <f t="shared" si="3"/>
        <v>15380.98</v>
      </c>
      <c r="BN17" s="67">
        <f t="shared" ref="BN17:DY17" si="4">BN13+BN14+BN15+BN16</f>
        <v>0.57000000000000006</v>
      </c>
      <c r="BO17" s="71">
        <f t="shared" si="4"/>
        <v>12</v>
      </c>
      <c r="BP17" s="71">
        <f t="shared" si="4"/>
        <v>13657</v>
      </c>
      <c r="BQ17" s="71">
        <f t="shared" si="4"/>
        <v>489</v>
      </c>
      <c r="BR17" s="71">
        <f t="shared" si="4"/>
        <v>98</v>
      </c>
      <c r="BS17" s="67">
        <f t="shared" si="4"/>
        <v>0.99900000000000011</v>
      </c>
      <c r="BT17" s="71">
        <f t="shared" si="4"/>
        <v>7</v>
      </c>
      <c r="BU17" s="71">
        <f t="shared" si="4"/>
        <v>8591.94</v>
      </c>
      <c r="BV17" s="71">
        <f t="shared" si="4"/>
        <v>1397.87</v>
      </c>
      <c r="BW17" s="71">
        <f t="shared" si="4"/>
        <v>28.71</v>
      </c>
      <c r="BX17" s="71">
        <f t="shared" si="4"/>
        <v>0.81230000000000002</v>
      </c>
      <c r="BY17" s="71">
        <f t="shared" si="4"/>
        <v>11</v>
      </c>
      <c r="BZ17" s="71">
        <f t="shared" si="4"/>
        <v>24017</v>
      </c>
      <c r="CA17" s="71">
        <f t="shared" si="4"/>
        <v>552</v>
      </c>
      <c r="CB17" s="71">
        <f t="shared" si="4"/>
        <v>148</v>
      </c>
      <c r="CC17" s="66">
        <f t="shared" si="4"/>
        <v>0.82299999999999995</v>
      </c>
      <c r="CD17" s="71">
        <f t="shared" si="4"/>
        <v>2</v>
      </c>
      <c r="CE17" s="72">
        <f t="shared" si="4"/>
        <v>2455.66</v>
      </c>
      <c r="CF17" s="72">
        <f t="shared" si="4"/>
        <v>66.430000000000007</v>
      </c>
      <c r="CG17" s="72">
        <f t="shared" si="4"/>
        <v>9.4</v>
      </c>
      <c r="CH17" s="67">
        <f t="shared" si="4"/>
        <v>1</v>
      </c>
      <c r="CI17" s="71">
        <f t="shared" si="4"/>
        <v>5</v>
      </c>
      <c r="CJ17" s="71">
        <f t="shared" si="4"/>
        <v>39532</v>
      </c>
      <c r="CK17" s="71">
        <f t="shared" si="4"/>
        <v>60</v>
      </c>
      <c r="CL17" s="71">
        <f t="shared" si="4"/>
        <v>0</v>
      </c>
      <c r="CM17" s="67">
        <f t="shared" si="4"/>
        <v>1</v>
      </c>
      <c r="CN17" s="71">
        <f t="shared" si="4"/>
        <v>28</v>
      </c>
      <c r="CO17" s="71">
        <f t="shared" si="4"/>
        <v>31050.320000000003</v>
      </c>
      <c r="CP17" s="71">
        <f t="shared" si="4"/>
        <v>6765.29</v>
      </c>
      <c r="CQ17" s="71">
        <f t="shared" si="4"/>
        <v>31229.75</v>
      </c>
      <c r="CR17" s="66">
        <f t="shared" si="4"/>
        <v>0.76949999999999996</v>
      </c>
      <c r="CS17" s="71">
        <f t="shared" si="4"/>
        <v>5</v>
      </c>
      <c r="CT17" s="71">
        <f t="shared" si="4"/>
        <v>145</v>
      </c>
      <c r="CU17" s="71">
        <f t="shared" si="4"/>
        <v>278</v>
      </c>
      <c r="CV17" s="71">
        <f t="shared" si="4"/>
        <v>770</v>
      </c>
      <c r="CW17" s="67">
        <f t="shared" si="4"/>
        <v>1.0065999999999999</v>
      </c>
      <c r="CX17" s="71">
        <f t="shared" si="4"/>
        <v>7</v>
      </c>
      <c r="CY17" s="72">
        <f t="shared" si="4"/>
        <v>2588</v>
      </c>
      <c r="CZ17" s="72">
        <f t="shared" si="4"/>
        <v>1381</v>
      </c>
      <c r="DA17" s="72">
        <f t="shared" si="4"/>
        <v>106</v>
      </c>
      <c r="DB17" s="66">
        <f t="shared" si="4"/>
        <v>0.96920000000000006</v>
      </c>
      <c r="DC17" s="71">
        <f t="shared" si="4"/>
        <v>30</v>
      </c>
      <c r="DD17" s="71">
        <f t="shared" si="4"/>
        <v>168307</v>
      </c>
      <c r="DE17" s="71">
        <f t="shared" si="4"/>
        <v>7705</v>
      </c>
      <c r="DF17" s="71">
        <f t="shared" si="4"/>
        <v>13711</v>
      </c>
      <c r="DG17" s="66">
        <f t="shared" si="4"/>
        <v>0.73559999999999992</v>
      </c>
      <c r="DH17" s="71">
        <f t="shared" si="4"/>
        <v>13</v>
      </c>
      <c r="DI17" s="72">
        <f t="shared" si="4"/>
        <v>30234.6</v>
      </c>
      <c r="DJ17" s="72">
        <f t="shared" si="4"/>
        <v>946.53</v>
      </c>
      <c r="DK17" s="72">
        <f t="shared" si="4"/>
        <v>978.17</v>
      </c>
      <c r="DL17" s="66">
        <f t="shared" si="4"/>
        <v>0.73049999999999993</v>
      </c>
      <c r="DM17" s="71">
        <f t="shared" si="4"/>
        <v>27</v>
      </c>
      <c r="DN17" s="72">
        <f t="shared" si="4"/>
        <v>107326.72</v>
      </c>
      <c r="DO17" s="72">
        <f t="shared" si="4"/>
        <v>6602.49</v>
      </c>
      <c r="DP17" s="72">
        <f t="shared" si="4"/>
        <v>20924.84</v>
      </c>
      <c r="DQ17" s="66">
        <f t="shared" si="4"/>
        <v>0.55649999999999999</v>
      </c>
      <c r="DR17" s="71">
        <f t="shared" si="4"/>
        <v>7</v>
      </c>
      <c r="DS17" s="72">
        <f t="shared" si="4"/>
        <v>5278.29</v>
      </c>
      <c r="DT17" s="72">
        <f t="shared" si="4"/>
        <v>688.77</v>
      </c>
      <c r="DU17" s="72">
        <f t="shared" si="4"/>
        <v>64.94</v>
      </c>
      <c r="DV17" s="66">
        <f t="shared" si="4"/>
        <v>0.73170000000000002</v>
      </c>
      <c r="DW17" s="71">
        <f t="shared" si="4"/>
        <v>4</v>
      </c>
      <c r="DX17" s="71">
        <f t="shared" si="4"/>
        <v>22614</v>
      </c>
      <c r="DY17" s="71">
        <f t="shared" si="4"/>
        <v>4740</v>
      </c>
      <c r="DZ17" s="71">
        <f t="shared" ref="DZ17:EY17" si="5">DZ13+DZ14+DZ15+DZ16</f>
        <v>0</v>
      </c>
      <c r="EA17" s="67">
        <f t="shared" si="5"/>
        <v>1</v>
      </c>
      <c r="EB17" s="71">
        <f t="shared" si="5"/>
        <v>21</v>
      </c>
      <c r="EC17" s="71">
        <f t="shared" si="5"/>
        <v>114996</v>
      </c>
      <c r="ED17" s="71">
        <f t="shared" si="5"/>
        <v>6438</v>
      </c>
      <c r="EE17" s="71">
        <f t="shared" si="5"/>
        <v>17711</v>
      </c>
      <c r="EF17" s="67">
        <f t="shared" si="5"/>
        <v>0.67</v>
      </c>
      <c r="EG17" s="71">
        <f t="shared" si="5"/>
        <v>29</v>
      </c>
      <c r="EH17" s="71">
        <f t="shared" si="5"/>
        <v>145179.29</v>
      </c>
      <c r="EI17" s="71">
        <f t="shared" si="5"/>
        <v>20008.47</v>
      </c>
      <c r="EJ17" s="71">
        <f t="shared" si="5"/>
        <v>96560.33</v>
      </c>
      <c r="EK17" s="67">
        <f t="shared" si="5"/>
        <v>0.72299999999999998</v>
      </c>
      <c r="EL17" s="71">
        <f t="shared" si="5"/>
        <v>0</v>
      </c>
      <c r="EM17" s="71">
        <f t="shared" si="5"/>
        <v>62285.890000000007</v>
      </c>
      <c r="EN17" s="71">
        <f t="shared" si="5"/>
        <v>7323.6</v>
      </c>
      <c r="EO17" s="71">
        <f t="shared" si="5"/>
        <v>25359.63</v>
      </c>
      <c r="EP17" s="66">
        <f t="shared" si="5"/>
        <v>0.79999999999999993</v>
      </c>
      <c r="EQ17" s="71">
        <f t="shared" si="5"/>
        <v>23</v>
      </c>
      <c r="ER17" s="71">
        <f t="shared" si="5"/>
        <v>70892</v>
      </c>
      <c r="ES17" s="71">
        <f t="shared" si="5"/>
        <v>10989</v>
      </c>
      <c r="ET17" s="71">
        <f t="shared" si="5"/>
        <v>15963</v>
      </c>
      <c r="EU17" s="66">
        <f t="shared" si="5"/>
        <v>0.69769999999999999</v>
      </c>
      <c r="EV17" s="71">
        <f t="shared" si="5"/>
        <v>8</v>
      </c>
      <c r="EW17" s="71">
        <f t="shared" si="5"/>
        <v>44524</v>
      </c>
      <c r="EX17" s="71">
        <f t="shared" si="5"/>
        <v>1671</v>
      </c>
      <c r="EY17" s="71">
        <f t="shared" si="5"/>
        <v>2090</v>
      </c>
      <c r="EZ17" s="67">
        <f>EZ13+EZ14+EZ15+EZ16</f>
        <v>0.62</v>
      </c>
    </row>
    <row r="18" spans="1:156" s="11" customFormat="1" x14ac:dyDescent="0.25">
      <c r="A18" s="65" t="s">
        <v>262</v>
      </c>
      <c r="B18" s="25">
        <f>B11+B17</f>
        <v>2</v>
      </c>
      <c r="C18" s="65">
        <f t="shared" ref="C18:BN18" si="6">C11+C17</f>
        <v>16519</v>
      </c>
      <c r="D18" s="65">
        <f t="shared" si="6"/>
        <v>448</v>
      </c>
      <c r="E18" s="65">
        <f t="shared" si="6"/>
        <v>3</v>
      </c>
      <c r="F18" s="25">
        <f t="shared" si="6"/>
        <v>1</v>
      </c>
      <c r="G18" s="25">
        <f t="shared" si="6"/>
        <v>5</v>
      </c>
      <c r="H18" s="25">
        <f t="shared" si="6"/>
        <v>21755.98</v>
      </c>
      <c r="I18" s="25">
        <f t="shared" si="6"/>
        <v>250.15</v>
      </c>
      <c r="J18" s="25">
        <f t="shared" si="6"/>
        <v>0</v>
      </c>
      <c r="K18" s="67">
        <f t="shared" si="6"/>
        <v>1</v>
      </c>
      <c r="L18" s="25">
        <f t="shared" si="6"/>
        <v>71</v>
      </c>
      <c r="M18" s="25">
        <f t="shared" si="6"/>
        <v>368637.79</v>
      </c>
      <c r="N18" s="25">
        <f t="shared" si="6"/>
        <v>7411.18</v>
      </c>
      <c r="O18" s="25">
        <f t="shared" si="6"/>
        <v>106486.79000000001</v>
      </c>
      <c r="P18" s="67">
        <f t="shared" si="6"/>
        <v>1.0001</v>
      </c>
      <c r="Q18" s="25">
        <f t="shared" si="6"/>
        <v>192</v>
      </c>
      <c r="R18" s="65">
        <f t="shared" si="6"/>
        <v>314036.03999999998</v>
      </c>
      <c r="S18" s="65">
        <f t="shared" si="6"/>
        <v>11249.849999999999</v>
      </c>
      <c r="T18" s="65">
        <f t="shared" si="6"/>
        <v>71048.23000000001</v>
      </c>
      <c r="U18" s="67">
        <f t="shared" si="6"/>
        <v>0.99999999999999989</v>
      </c>
      <c r="V18" s="25">
        <f t="shared" si="6"/>
        <v>3</v>
      </c>
      <c r="W18" s="25">
        <f t="shared" si="6"/>
        <v>31127</v>
      </c>
      <c r="X18" s="25">
        <f t="shared" si="6"/>
        <v>416</v>
      </c>
      <c r="Y18" s="25">
        <f t="shared" si="6"/>
        <v>143</v>
      </c>
      <c r="Z18" s="67">
        <f t="shared" si="6"/>
        <v>1</v>
      </c>
      <c r="AA18" s="25">
        <f t="shared" si="6"/>
        <v>97</v>
      </c>
      <c r="AB18" s="25">
        <f t="shared" si="6"/>
        <v>63327</v>
      </c>
      <c r="AC18" s="25">
        <f t="shared" si="6"/>
        <v>2220</v>
      </c>
      <c r="AD18" s="25">
        <f t="shared" si="6"/>
        <v>10255</v>
      </c>
      <c r="AE18" s="67">
        <f t="shared" si="6"/>
        <v>1.0001</v>
      </c>
      <c r="AF18" s="25">
        <f t="shared" si="6"/>
        <v>12</v>
      </c>
      <c r="AG18" s="25">
        <f t="shared" si="6"/>
        <v>9998</v>
      </c>
      <c r="AH18" s="25">
        <f t="shared" si="6"/>
        <v>0</v>
      </c>
      <c r="AI18" s="25">
        <f t="shared" si="6"/>
        <v>0</v>
      </c>
      <c r="AJ18" s="67">
        <f t="shared" si="6"/>
        <v>0.99</v>
      </c>
      <c r="AK18" s="25">
        <f t="shared" si="6"/>
        <v>12</v>
      </c>
      <c r="AL18" s="25">
        <f t="shared" si="6"/>
        <v>8410.74</v>
      </c>
      <c r="AM18" s="25">
        <f t="shared" si="6"/>
        <v>473.29</v>
      </c>
      <c r="AN18" s="25">
        <f t="shared" si="6"/>
        <v>82.22</v>
      </c>
      <c r="AO18" s="67">
        <f t="shared" si="6"/>
        <v>1</v>
      </c>
      <c r="AP18" s="25">
        <f t="shared" si="6"/>
        <v>100</v>
      </c>
      <c r="AQ18" s="25">
        <f t="shared" si="6"/>
        <v>60034</v>
      </c>
      <c r="AR18" s="25">
        <f t="shared" si="6"/>
        <v>7524</v>
      </c>
      <c r="AS18" s="25">
        <f t="shared" si="6"/>
        <v>4230</v>
      </c>
      <c r="AT18" s="67">
        <f t="shared" si="6"/>
        <v>0.99999999999999989</v>
      </c>
      <c r="AU18" s="25">
        <f t="shared" si="6"/>
        <v>86</v>
      </c>
      <c r="AV18" s="25">
        <f t="shared" si="6"/>
        <v>79261</v>
      </c>
      <c r="AW18" s="25">
        <f t="shared" si="6"/>
        <v>0</v>
      </c>
      <c r="AX18" s="25">
        <f t="shared" si="6"/>
        <v>4333.1000000000004</v>
      </c>
      <c r="AY18" s="67">
        <f t="shared" si="6"/>
        <v>0.99980000000000002</v>
      </c>
      <c r="AZ18" s="25">
        <f t="shared" si="6"/>
        <v>160</v>
      </c>
      <c r="BA18" s="25">
        <f t="shared" si="6"/>
        <v>343722</v>
      </c>
      <c r="BB18" s="25">
        <f t="shared" si="6"/>
        <v>10190</v>
      </c>
      <c r="BC18" s="25">
        <f t="shared" si="6"/>
        <v>43216</v>
      </c>
      <c r="BD18" s="67">
        <f t="shared" si="6"/>
        <v>1</v>
      </c>
      <c r="BE18" s="25">
        <f t="shared" si="6"/>
        <v>228</v>
      </c>
      <c r="BF18" s="25">
        <f t="shared" si="6"/>
        <v>277019</v>
      </c>
      <c r="BG18" s="25">
        <f t="shared" si="6"/>
        <v>17556</v>
      </c>
      <c r="BH18" s="25">
        <f t="shared" si="6"/>
        <v>55737</v>
      </c>
      <c r="BI18" s="67">
        <f t="shared" si="6"/>
        <v>1</v>
      </c>
      <c r="BJ18" s="25">
        <f t="shared" si="6"/>
        <v>166</v>
      </c>
      <c r="BK18" s="25">
        <f t="shared" si="6"/>
        <v>113334.06</v>
      </c>
      <c r="BL18" s="25">
        <f t="shared" si="6"/>
        <v>7228.39</v>
      </c>
      <c r="BM18" s="25">
        <f t="shared" si="6"/>
        <v>20788.22</v>
      </c>
      <c r="BN18" s="67">
        <f t="shared" si="6"/>
        <v>1</v>
      </c>
      <c r="BO18" s="25">
        <f t="shared" ref="BO18:DZ18" si="7">BO11+BO17</f>
        <v>13</v>
      </c>
      <c r="BP18" s="25">
        <f t="shared" si="7"/>
        <v>13657</v>
      </c>
      <c r="BQ18" s="25">
        <f t="shared" si="7"/>
        <v>488.51</v>
      </c>
      <c r="BR18" s="25">
        <f t="shared" si="7"/>
        <v>98</v>
      </c>
      <c r="BS18" s="67">
        <f t="shared" si="7"/>
        <v>0.99900000000000011</v>
      </c>
      <c r="BT18" s="25">
        <f t="shared" si="7"/>
        <v>22</v>
      </c>
      <c r="BU18" s="25">
        <f t="shared" si="7"/>
        <v>10245</v>
      </c>
      <c r="BV18" s="25">
        <f t="shared" si="7"/>
        <v>2048.17</v>
      </c>
      <c r="BW18" s="25">
        <f t="shared" si="7"/>
        <v>40.1</v>
      </c>
      <c r="BX18" s="67">
        <f t="shared" si="7"/>
        <v>0.81230000000000002</v>
      </c>
      <c r="BY18" s="25">
        <f t="shared" si="7"/>
        <v>48</v>
      </c>
      <c r="BZ18" s="25">
        <f t="shared" si="7"/>
        <v>29078.1</v>
      </c>
      <c r="CA18" s="25">
        <f t="shared" si="7"/>
        <v>754</v>
      </c>
      <c r="CB18" s="25">
        <f t="shared" si="7"/>
        <v>164</v>
      </c>
      <c r="CC18" s="67">
        <f t="shared" si="7"/>
        <v>0.99899999999999989</v>
      </c>
      <c r="CD18" s="25">
        <f t="shared" si="7"/>
        <v>2</v>
      </c>
      <c r="CE18" s="65">
        <f t="shared" si="7"/>
        <v>2455.66</v>
      </c>
      <c r="CF18" s="65">
        <f t="shared" si="7"/>
        <v>66.430000000000007</v>
      </c>
      <c r="CG18" s="65">
        <f t="shared" si="7"/>
        <v>9.4</v>
      </c>
      <c r="CH18" s="67">
        <f t="shared" si="7"/>
        <v>1</v>
      </c>
      <c r="CI18" s="25">
        <f t="shared" si="7"/>
        <v>5</v>
      </c>
      <c r="CJ18" s="25">
        <f t="shared" si="7"/>
        <v>39532</v>
      </c>
      <c r="CK18" s="25">
        <f t="shared" si="7"/>
        <v>60</v>
      </c>
      <c r="CL18" s="25">
        <f t="shared" si="7"/>
        <v>0</v>
      </c>
      <c r="CM18" s="67">
        <f t="shared" si="7"/>
        <v>1</v>
      </c>
      <c r="CN18" s="25">
        <f t="shared" si="7"/>
        <v>277</v>
      </c>
      <c r="CO18" s="25">
        <f t="shared" si="7"/>
        <v>41760.490000000005</v>
      </c>
      <c r="CP18" s="25">
        <f t="shared" si="7"/>
        <v>12517.91</v>
      </c>
      <c r="CQ18" s="25">
        <f t="shared" si="7"/>
        <v>35444.239999999998</v>
      </c>
      <c r="CR18" s="67">
        <f t="shared" si="7"/>
        <v>1</v>
      </c>
      <c r="CS18" s="25">
        <f t="shared" si="7"/>
        <v>6</v>
      </c>
      <c r="CT18" s="25">
        <f t="shared" si="7"/>
        <v>137</v>
      </c>
      <c r="CU18" s="25">
        <f t="shared" si="7"/>
        <v>278</v>
      </c>
      <c r="CV18" s="25">
        <f t="shared" si="7"/>
        <v>770</v>
      </c>
      <c r="CW18" s="67">
        <f t="shared" si="7"/>
        <v>0.99999999999999989</v>
      </c>
      <c r="CX18" s="25">
        <f t="shared" si="7"/>
        <v>14</v>
      </c>
      <c r="CY18" s="65">
        <f t="shared" si="7"/>
        <v>2588</v>
      </c>
      <c r="CZ18" s="65">
        <f t="shared" si="7"/>
        <v>1510</v>
      </c>
      <c r="DA18" s="65">
        <f t="shared" si="7"/>
        <v>106</v>
      </c>
      <c r="DB18" s="67">
        <f t="shared" si="7"/>
        <v>1</v>
      </c>
      <c r="DC18" s="25">
        <f t="shared" si="7"/>
        <v>180</v>
      </c>
      <c r="DD18" s="25">
        <f t="shared" si="7"/>
        <v>221169</v>
      </c>
      <c r="DE18" s="25">
        <f t="shared" si="7"/>
        <v>14260</v>
      </c>
      <c r="DF18" s="25">
        <f t="shared" si="7"/>
        <v>22499</v>
      </c>
      <c r="DG18" s="67">
        <f t="shared" si="7"/>
        <v>1</v>
      </c>
      <c r="DH18" s="25">
        <f t="shared" si="7"/>
        <v>65</v>
      </c>
      <c r="DI18" s="65">
        <f t="shared" si="7"/>
        <v>38745.42</v>
      </c>
      <c r="DJ18" s="65">
        <f t="shared" si="7"/>
        <v>1588.37</v>
      </c>
      <c r="DK18" s="65">
        <f t="shared" si="7"/>
        <v>3687.56</v>
      </c>
      <c r="DL18" s="67">
        <f t="shared" si="7"/>
        <v>1</v>
      </c>
      <c r="DM18" s="25">
        <f t="shared" si="7"/>
        <v>142</v>
      </c>
      <c r="DN18" s="65">
        <f t="shared" si="7"/>
        <v>210034.65000000002</v>
      </c>
      <c r="DO18" s="65">
        <f t="shared" si="7"/>
        <v>9642.59</v>
      </c>
      <c r="DP18" s="65">
        <f t="shared" si="7"/>
        <v>22671.25</v>
      </c>
      <c r="DQ18" s="67">
        <f t="shared" si="7"/>
        <v>1</v>
      </c>
      <c r="DR18" s="25">
        <f t="shared" si="7"/>
        <v>36</v>
      </c>
      <c r="DS18" s="65">
        <f t="shared" si="7"/>
        <v>6557</v>
      </c>
      <c r="DT18" s="65">
        <f t="shared" si="7"/>
        <v>1603.51</v>
      </c>
      <c r="DU18" s="65">
        <f t="shared" si="7"/>
        <v>81.89</v>
      </c>
      <c r="DV18" s="67">
        <f t="shared" si="7"/>
        <v>0.99990000000000001</v>
      </c>
      <c r="DW18" s="25">
        <f t="shared" si="7"/>
        <v>4</v>
      </c>
      <c r="DX18" s="25">
        <f t="shared" si="7"/>
        <v>22614</v>
      </c>
      <c r="DY18" s="25">
        <f t="shared" si="7"/>
        <v>4740</v>
      </c>
      <c r="DZ18" s="25">
        <f t="shared" si="7"/>
        <v>0</v>
      </c>
      <c r="EA18" s="67">
        <f t="shared" ref="EA18:EZ18" si="8">EA11+EA17</f>
        <v>1</v>
      </c>
      <c r="EB18" s="25">
        <f t="shared" si="8"/>
        <v>141</v>
      </c>
      <c r="EC18" s="25">
        <f t="shared" si="8"/>
        <v>165594</v>
      </c>
      <c r="ED18" s="25">
        <f t="shared" si="8"/>
        <v>9227</v>
      </c>
      <c r="EE18" s="25">
        <f t="shared" si="8"/>
        <v>32984</v>
      </c>
      <c r="EF18" s="67">
        <f t="shared" si="8"/>
        <v>1</v>
      </c>
      <c r="EG18" s="25">
        <f t="shared" si="8"/>
        <v>338</v>
      </c>
      <c r="EH18" s="25">
        <f t="shared" si="8"/>
        <v>181003.21000000002</v>
      </c>
      <c r="EI18" s="25">
        <f t="shared" si="8"/>
        <v>35142.5</v>
      </c>
      <c r="EJ18" s="25">
        <f t="shared" si="8"/>
        <v>145874.5</v>
      </c>
      <c r="EK18" s="67">
        <f t="shared" si="8"/>
        <v>0.99990000000000001</v>
      </c>
      <c r="EL18" s="25">
        <f t="shared" si="8"/>
        <v>0</v>
      </c>
      <c r="EM18" s="25">
        <f t="shared" si="8"/>
        <v>73585.430000000008</v>
      </c>
      <c r="EN18" s="25">
        <f t="shared" si="8"/>
        <v>12985.27</v>
      </c>
      <c r="EO18" s="25">
        <f t="shared" si="8"/>
        <v>30188.47</v>
      </c>
      <c r="EP18" s="66">
        <f t="shared" si="8"/>
        <v>0.98359999999999992</v>
      </c>
      <c r="EQ18" s="25">
        <f t="shared" si="8"/>
        <v>202</v>
      </c>
      <c r="ER18" s="25">
        <f t="shared" si="8"/>
        <v>88290</v>
      </c>
      <c r="ES18" s="25">
        <f t="shared" si="8"/>
        <v>20663</v>
      </c>
      <c r="ET18" s="25">
        <f t="shared" si="8"/>
        <v>31291</v>
      </c>
      <c r="EU18" s="66">
        <f t="shared" si="8"/>
        <v>1</v>
      </c>
      <c r="EV18" s="25">
        <f t="shared" si="8"/>
        <v>79</v>
      </c>
      <c r="EW18" s="25">
        <f t="shared" si="8"/>
        <v>69527</v>
      </c>
      <c r="EX18" s="25">
        <f t="shared" si="8"/>
        <v>2797</v>
      </c>
      <c r="EY18" s="25">
        <f t="shared" si="8"/>
        <v>6051</v>
      </c>
      <c r="EZ18" s="67">
        <f t="shared" si="8"/>
        <v>1</v>
      </c>
    </row>
  </sheetData>
  <mergeCells count="125">
    <mergeCell ref="A3:A4"/>
    <mergeCell ref="ER3:ET3"/>
    <mergeCell ref="EU3:EU4"/>
    <mergeCell ref="EV3:EV4"/>
    <mergeCell ref="EW3:EY3"/>
    <mergeCell ref="EZ3:EZ4"/>
    <mergeCell ref="EH3:EJ3"/>
    <mergeCell ref="EK3:EK4"/>
    <mergeCell ref="EL3:EL4"/>
    <mergeCell ref="EM3:EO3"/>
    <mergeCell ref="EP3:EP4"/>
    <mergeCell ref="EQ3:EQ4"/>
    <mergeCell ref="DX3:DZ3"/>
    <mergeCell ref="EA3:EA4"/>
    <mergeCell ref="EB3:EB4"/>
    <mergeCell ref="EC3:EE3"/>
    <mergeCell ref="EF3:EF4"/>
    <mergeCell ref="EG3:EG4"/>
    <mergeCell ref="DI3:DK3"/>
    <mergeCell ref="DL3:DL4"/>
    <mergeCell ref="DR3:DR4"/>
    <mergeCell ref="DS3:DU3"/>
    <mergeCell ref="DV3:DV4"/>
    <mergeCell ref="DW3:DW4"/>
    <mergeCell ref="CY3:DA3"/>
    <mergeCell ref="DB3:DB4"/>
    <mergeCell ref="DC3:DC4"/>
    <mergeCell ref="DD3:DF3"/>
    <mergeCell ref="DG3:DG4"/>
    <mergeCell ref="DH3:DH4"/>
    <mergeCell ref="DM3:DM4"/>
    <mergeCell ref="DN3:DP3"/>
    <mergeCell ref="DQ3:DQ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BD3:BD4"/>
    <mergeCell ref="BE3:BE4"/>
    <mergeCell ref="BF3:BH3"/>
    <mergeCell ref="BI3:BI4"/>
    <mergeCell ref="BJ3:BJ4"/>
    <mergeCell ref="AV3:AX3"/>
    <mergeCell ref="AY3:AY4"/>
    <mergeCell ref="AZ3:AZ4"/>
    <mergeCell ref="AT3:AT4"/>
    <mergeCell ref="AU3:AU4"/>
    <mergeCell ref="R3:T3"/>
    <mergeCell ref="U3:U4"/>
    <mergeCell ref="AL3:AN3"/>
    <mergeCell ref="AO3:AO4"/>
    <mergeCell ref="AP3:AP4"/>
    <mergeCell ref="AQ3:AS3"/>
    <mergeCell ref="V3:V4"/>
    <mergeCell ref="W3:Y3"/>
    <mergeCell ref="Z3:Z4"/>
    <mergeCell ref="AA3:AA4"/>
    <mergeCell ref="M3:O3"/>
    <mergeCell ref="AB3:AD3"/>
    <mergeCell ref="AE3:AE4"/>
    <mergeCell ref="AF3:AF4"/>
    <mergeCell ref="AG3:AI3"/>
    <mergeCell ref="EQ2:EU2"/>
    <mergeCell ref="EV2:EZ2"/>
    <mergeCell ref="DM2:DQ2"/>
    <mergeCell ref="DW2:EA2"/>
    <mergeCell ref="EB2:EF2"/>
    <mergeCell ref="EG2:EK2"/>
    <mergeCell ref="EL2:EP2"/>
    <mergeCell ref="BT2:BX2"/>
    <mergeCell ref="BY2:CC2"/>
    <mergeCell ref="AA2:AE2"/>
    <mergeCell ref="AF2:AJ2"/>
    <mergeCell ref="AK2:AO2"/>
    <mergeCell ref="AP2:AT2"/>
    <mergeCell ref="AU2:AY2"/>
    <mergeCell ref="AJ3:AJ4"/>
    <mergeCell ref="AK3:AK4"/>
    <mergeCell ref="BA3:BC3"/>
    <mergeCell ref="P3:P4"/>
    <mergeCell ref="Q3:Q4"/>
    <mergeCell ref="B3:B4"/>
    <mergeCell ref="C3:E3"/>
    <mergeCell ref="F3:F4"/>
    <mergeCell ref="G3:G4"/>
    <mergeCell ref="H3:J3"/>
    <mergeCell ref="K3:K4"/>
    <mergeCell ref="L3:L4"/>
    <mergeCell ref="DH2:DL2"/>
    <mergeCell ref="DR2:DV2"/>
    <mergeCell ref="CD2:CH2"/>
    <mergeCell ref="CI2:CM2"/>
    <mergeCell ref="CN2:CR2"/>
    <mergeCell ref="CS2:CW2"/>
    <mergeCell ref="CX2:DB2"/>
    <mergeCell ref="DC2:DG2"/>
    <mergeCell ref="AZ2:BD2"/>
    <mergeCell ref="BE2:BI2"/>
    <mergeCell ref="B2:F2"/>
    <mergeCell ref="G2:K2"/>
    <mergeCell ref="L2:P2"/>
    <mergeCell ref="Q2:U2"/>
    <mergeCell ref="V2:Z2"/>
    <mergeCell ref="BJ2:BN2"/>
    <mergeCell ref="BO2:BS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U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3" customWidth="1"/>
    <col min="2" max="22" width="16" style="3" customWidth="1"/>
    <col min="23" max="23" width="16" style="10" customWidth="1"/>
    <col min="24" max="24" width="16" style="3" customWidth="1"/>
    <col min="25" max="25" width="16" style="10" customWidth="1"/>
    <col min="26" max="29" width="16" style="89" customWidth="1"/>
    <col min="30" max="54" width="16" style="3" customWidth="1"/>
    <col min="55" max="55" width="16" style="10" customWidth="1"/>
    <col min="56" max="56" width="16" style="3" customWidth="1"/>
    <col min="57" max="57" width="16" style="10" customWidth="1"/>
    <col min="58" max="110" width="16" style="3" customWidth="1"/>
    <col min="111" max="111" width="16" style="10" customWidth="1"/>
    <col min="112" max="112" width="16" style="3" customWidth="1"/>
    <col min="113" max="113" width="16" style="10" customWidth="1"/>
    <col min="114" max="125" width="16" style="3" customWidth="1"/>
    <col min="126" max="16384" width="9.140625" style="3"/>
  </cols>
  <sheetData>
    <row r="1" spans="1:125" ht="18.75" x14ac:dyDescent="0.3">
      <c r="A1" s="5" t="s">
        <v>248</v>
      </c>
    </row>
    <row r="2" spans="1:125" x14ac:dyDescent="0.25">
      <c r="A2" s="3" t="s">
        <v>111</v>
      </c>
    </row>
    <row r="3" spans="1:125" x14ac:dyDescent="0.25">
      <c r="A3" s="42" t="s">
        <v>0</v>
      </c>
      <c r="B3" s="99" t="s">
        <v>1</v>
      </c>
      <c r="C3" s="99"/>
      <c r="D3" s="99"/>
      <c r="E3" s="99"/>
      <c r="F3" s="99" t="s">
        <v>232</v>
      </c>
      <c r="G3" s="99"/>
      <c r="H3" s="99"/>
      <c r="I3" s="99"/>
      <c r="J3" s="99" t="s">
        <v>2</v>
      </c>
      <c r="K3" s="99"/>
      <c r="L3" s="99"/>
      <c r="M3" s="99"/>
      <c r="N3" s="99" t="s">
        <v>3</v>
      </c>
      <c r="O3" s="99"/>
      <c r="P3" s="99"/>
      <c r="Q3" s="99"/>
      <c r="R3" s="99" t="s">
        <v>241</v>
      </c>
      <c r="S3" s="99"/>
      <c r="T3" s="99"/>
      <c r="U3" s="99"/>
      <c r="V3" s="99" t="s">
        <v>233</v>
      </c>
      <c r="W3" s="99"/>
      <c r="X3" s="99"/>
      <c r="Y3" s="99"/>
      <c r="Z3" s="112" t="s">
        <v>5</v>
      </c>
      <c r="AA3" s="112"/>
      <c r="AB3" s="112"/>
      <c r="AC3" s="112"/>
      <c r="AD3" s="99" t="s">
        <v>4</v>
      </c>
      <c r="AE3" s="99"/>
      <c r="AF3" s="99"/>
      <c r="AG3" s="99"/>
      <c r="AH3" s="99" t="s">
        <v>6</v>
      </c>
      <c r="AI3" s="99"/>
      <c r="AJ3" s="99"/>
      <c r="AK3" s="99"/>
      <c r="AL3" s="99" t="s">
        <v>246</v>
      </c>
      <c r="AM3" s="99"/>
      <c r="AN3" s="99"/>
      <c r="AO3" s="99"/>
      <c r="AP3" s="99" t="s">
        <v>7</v>
      </c>
      <c r="AQ3" s="99"/>
      <c r="AR3" s="99"/>
      <c r="AS3" s="99"/>
      <c r="AT3" s="99" t="s">
        <v>8</v>
      </c>
      <c r="AU3" s="99"/>
      <c r="AV3" s="99"/>
      <c r="AW3" s="99"/>
      <c r="AX3" s="99" t="s">
        <v>9</v>
      </c>
      <c r="AY3" s="99"/>
      <c r="AZ3" s="99"/>
      <c r="BA3" s="99"/>
      <c r="BB3" s="99" t="s">
        <v>240</v>
      </c>
      <c r="BC3" s="99"/>
      <c r="BD3" s="99"/>
      <c r="BE3" s="99"/>
      <c r="BF3" s="99" t="s">
        <v>10</v>
      </c>
      <c r="BG3" s="99"/>
      <c r="BH3" s="99"/>
      <c r="BI3" s="99"/>
      <c r="BJ3" s="99" t="s">
        <v>11</v>
      </c>
      <c r="BK3" s="99"/>
      <c r="BL3" s="99"/>
      <c r="BM3" s="99"/>
      <c r="BN3" s="99" t="s">
        <v>234</v>
      </c>
      <c r="BO3" s="99"/>
      <c r="BP3" s="99"/>
      <c r="BQ3" s="99"/>
      <c r="BR3" s="99" t="s">
        <v>245</v>
      </c>
      <c r="BS3" s="99"/>
      <c r="BT3" s="99"/>
      <c r="BU3" s="99"/>
      <c r="BV3" s="99" t="s">
        <v>12</v>
      </c>
      <c r="BW3" s="99"/>
      <c r="BX3" s="99"/>
      <c r="BY3" s="99"/>
      <c r="BZ3" s="99" t="s">
        <v>235</v>
      </c>
      <c r="CA3" s="99"/>
      <c r="CB3" s="99"/>
      <c r="CC3" s="99"/>
      <c r="CD3" s="99" t="s">
        <v>236</v>
      </c>
      <c r="CE3" s="99"/>
      <c r="CF3" s="99"/>
      <c r="CG3" s="99"/>
      <c r="CH3" s="99" t="s">
        <v>239</v>
      </c>
      <c r="CI3" s="99"/>
      <c r="CJ3" s="99"/>
      <c r="CK3" s="99"/>
      <c r="CL3" s="99" t="s">
        <v>13</v>
      </c>
      <c r="CM3" s="99"/>
      <c r="CN3" s="99"/>
      <c r="CO3" s="99"/>
      <c r="CP3" s="99" t="s">
        <v>14</v>
      </c>
      <c r="CQ3" s="99"/>
      <c r="CR3" s="99"/>
      <c r="CS3" s="99"/>
      <c r="CT3" s="99" t="s">
        <v>15</v>
      </c>
      <c r="CU3" s="99"/>
      <c r="CV3" s="99"/>
      <c r="CW3" s="99"/>
      <c r="CX3" s="99" t="s">
        <v>16</v>
      </c>
      <c r="CY3" s="99"/>
      <c r="CZ3" s="99"/>
      <c r="DA3" s="99"/>
      <c r="DB3" s="99" t="s">
        <v>17</v>
      </c>
      <c r="DC3" s="99"/>
      <c r="DD3" s="99"/>
      <c r="DE3" s="99"/>
      <c r="DF3" s="99" t="s">
        <v>237</v>
      </c>
      <c r="DG3" s="99"/>
      <c r="DH3" s="99"/>
      <c r="DI3" s="99"/>
      <c r="DJ3" s="99" t="s">
        <v>238</v>
      </c>
      <c r="DK3" s="99"/>
      <c r="DL3" s="99"/>
      <c r="DM3" s="99"/>
      <c r="DN3" s="113" t="s">
        <v>18</v>
      </c>
      <c r="DO3" s="113"/>
      <c r="DP3" s="113"/>
      <c r="DQ3" s="113"/>
      <c r="DR3" s="99" t="s">
        <v>19</v>
      </c>
      <c r="DS3" s="99"/>
      <c r="DT3" s="99"/>
      <c r="DU3" s="99"/>
    </row>
    <row r="4" spans="1:125" ht="15" customHeight="1" x14ac:dyDescent="0.25">
      <c r="A4" s="42"/>
      <c r="B4" s="101" t="s">
        <v>242</v>
      </c>
      <c r="C4" s="101"/>
      <c r="D4" s="109" t="s">
        <v>243</v>
      </c>
      <c r="E4" s="109"/>
      <c r="F4" s="101" t="s">
        <v>242</v>
      </c>
      <c r="G4" s="101"/>
      <c r="H4" s="109" t="s">
        <v>243</v>
      </c>
      <c r="I4" s="109"/>
      <c r="J4" s="101" t="s">
        <v>242</v>
      </c>
      <c r="K4" s="101"/>
      <c r="L4" s="109" t="s">
        <v>243</v>
      </c>
      <c r="M4" s="109"/>
      <c r="N4" s="101" t="s">
        <v>242</v>
      </c>
      <c r="O4" s="101"/>
      <c r="P4" s="109" t="s">
        <v>243</v>
      </c>
      <c r="Q4" s="109"/>
      <c r="R4" s="101" t="s">
        <v>242</v>
      </c>
      <c r="S4" s="101"/>
      <c r="T4" s="109" t="s">
        <v>243</v>
      </c>
      <c r="U4" s="109"/>
      <c r="V4" s="101" t="s">
        <v>242</v>
      </c>
      <c r="W4" s="101"/>
      <c r="X4" s="109" t="s">
        <v>243</v>
      </c>
      <c r="Y4" s="109"/>
      <c r="Z4" s="110" t="s">
        <v>242</v>
      </c>
      <c r="AA4" s="110"/>
      <c r="AB4" s="111" t="s">
        <v>243</v>
      </c>
      <c r="AC4" s="111"/>
      <c r="AD4" s="101" t="s">
        <v>242</v>
      </c>
      <c r="AE4" s="101"/>
      <c r="AF4" s="109" t="s">
        <v>243</v>
      </c>
      <c r="AG4" s="109"/>
      <c r="AH4" s="101" t="s">
        <v>242</v>
      </c>
      <c r="AI4" s="101"/>
      <c r="AJ4" s="109" t="s">
        <v>243</v>
      </c>
      <c r="AK4" s="109"/>
      <c r="AL4" s="101" t="s">
        <v>242</v>
      </c>
      <c r="AM4" s="101"/>
      <c r="AN4" s="109" t="s">
        <v>243</v>
      </c>
      <c r="AO4" s="109"/>
      <c r="AP4" s="101" t="s">
        <v>242</v>
      </c>
      <c r="AQ4" s="101"/>
      <c r="AR4" s="109" t="s">
        <v>243</v>
      </c>
      <c r="AS4" s="109"/>
      <c r="AT4" s="101" t="s">
        <v>242</v>
      </c>
      <c r="AU4" s="101"/>
      <c r="AV4" s="109" t="s">
        <v>243</v>
      </c>
      <c r="AW4" s="109"/>
      <c r="AX4" s="101" t="s">
        <v>242</v>
      </c>
      <c r="AY4" s="101"/>
      <c r="AZ4" s="109" t="s">
        <v>243</v>
      </c>
      <c r="BA4" s="109"/>
      <c r="BB4" s="101" t="s">
        <v>242</v>
      </c>
      <c r="BC4" s="101"/>
      <c r="BD4" s="109" t="s">
        <v>243</v>
      </c>
      <c r="BE4" s="109"/>
      <c r="BF4" s="101" t="s">
        <v>242</v>
      </c>
      <c r="BG4" s="101"/>
      <c r="BH4" s="109" t="s">
        <v>243</v>
      </c>
      <c r="BI4" s="109"/>
      <c r="BJ4" s="101" t="s">
        <v>242</v>
      </c>
      <c r="BK4" s="101"/>
      <c r="BL4" s="109" t="s">
        <v>243</v>
      </c>
      <c r="BM4" s="109"/>
      <c r="BN4" s="101" t="s">
        <v>242</v>
      </c>
      <c r="BO4" s="101"/>
      <c r="BP4" s="109" t="s">
        <v>243</v>
      </c>
      <c r="BQ4" s="109"/>
      <c r="BR4" s="101" t="s">
        <v>242</v>
      </c>
      <c r="BS4" s="101"/>
      <c r="BT4" s="109" t="s">
        <v>243</v>
      </c>
      <c r="BU4" s="109"/>
      <c r="BV4" s="101" t="s">
        <v>242</v>
      </c>
      <c r="BW4" s="101"/>
      <c r="BX4" s="109" t="s">
        <v>243</v>
      </c>
      <c r="BY4" s="109"/>
      <c r="BZ4" s="101" t="s">
        <v>242</v>
      </c>
      <c r="CA4" s="101"/>
      <c r="CB4" s="109" t="s">
        <v>243</v>
      </c>
      <c r="CC4" s="109"/>
      <c r="CD4" s="101" t="s">
        <v>242</v>
      </c>
      <c r="CE4" s="101"/>
      <c r="CF4" s="109" t="s">
        <v>243</v>
      </c>
      <c r="CG4" s="109"/>
      <c r="CH4" s="101" t="s">
        <v>242</v>
      </c>
      <c r="CI4" s="101"/>
      <c r="CJ4" s="109" t="s">
        <v>243</v>
      </c>
      <c r="CK4" s="109"/>
      <c r="CL4" s="101" t="s">
        <v>242</v>
      </c>
      <c r="CM4" s="101"/>
      <c r="CN4" s="109" t="s">
        <v>243</v>
      </c>
      <c r="CO4" s="109"/>
      <c r="CP4" s="101" t="s">
        <v>242</v>
      </c>
      <c r="CQ4" s="101"/>
      <c r="CR4" s="109" t="s">
        <v>243</v>
      </c>
      <c r="CS4" s="109"/>
      <c r="CT4" s="101" t="s">
        <v>242</v>
      </c>
      <c r="CU4" s="101"/>
      <c r="CV4" s="109" t="s">
        <v>243</v>
      </c>
      <c r="CW4" s="109"/>
      <c r="CX4" s="101" t="s">
        <v>242</v>
      </c>
      <c r="CY4" s="101"/>
      <c r="CZ4" s="109" t="s">
        <v>243</v>
      </c>
      <c r="DA4" s="109"/>
      <c r="DB4" s="101" t="s">
        <v>242</v>
      </c>
      <c r="DC4" s="101"/>
      <c r="DD4" s="109" t="s">
        <v>243</v>
      </c>
      <c r="DE4" s="109"/>
      <c r="DF4" s="101" t="s">
        <v>242</v>
      </c>
      <c r="DG4" s="101"/>
      <c r="DH4" s="109" t="s">
        <v>243</v>
      </c>
      <c r="DI4" s="109"/>
      <c r="DJ4" s="101" t="s">
        <v>242</v>
      </c>
      <c r="DK4" s="101"/>
      <c r="DL4" s="109" t="s">
        <v>243</v>
      </c>
      <c r="DM4" s="109"/>
      <c r="DN4" s="101" t="s">
        <v>242</v>
      </c>
      <c r="DO4" s="101"/>
      <c r="DP4" s="109" t="s">
        <v>243</v>
      </c>
      <c r="DQ4" s="109"/>
      <c r="DR4" s="101" t="s">
        <v>242</v>
      </c>
      <c r="DS4" s="101"/>
      <c r="DT4" s="109" t="s">
        <v>243</v>
      </c>
      <c r="DU4" s="109"/>
    </row>
    <row r="5" spans="1:125" s="16" customFormat="1" x14ac:dyDescent="0.25">
      <c r="A5" s="32"/>
      <c r="B5" s="31" t="s">
        <v>121</v>
      </c>
      <c r="C5" s="31" t="s">
        <v>122</v>
      </c>
      <c r="D5" s="31" t="s">
        <v>121</v>
      </c>
      <c r="E5" s="31" t="s">
        <v>122</v>
      </c>
      <c r="F5" s="31" t="s">
        <v>121</v>
      </c>
      <c r="G5" s="31" t="s">
        <v>122</v>
      </c>
      <c r="H5" s="31" t="s">
        <v>121</v>
      </c>
      <c r="I5" s="31" t="s">
        <v>122</v>
      </c>
      <c r="J5" s="31" t="s">
        <v>121</v>
      </c>
      <c r="K5" s="31" t="s">
        <v>122</v>
      </c>
      <c r="L5" s="31" t="s">
        <v>121</v>
      </c>
      <c r="M5" s="31" t="s">
        <v>122</v>
      </c>
      <c r="N5" s="31" t="s">
        <v>121</v>
      </c>
      <c r="O5" s="31" t="s">
        <v>122</v>
      </c>
      <c r="P5" s="31" t="s">
        <v>121</v>
      </c>
      <c r="Q5" s="31" t="s">
        <v>122</v>
      </c>
      <c r="R5" s="31" t="s">
        <v>121</v>
      </c>
      <c r="S5" s="31" t="s">
        <v>122</v>
      </c>
      <c r="T5" s="31" t="s">
        <v>121</v>
      </c>
      <c r="U5" s="31" t="s">
        <v>122</v>
      </c>
      <c r="V5" s="31" t="s">
        <v>121</v>
      </c>
      <c r="W5" s="31" t="s">
        <v>122</v>
      </c>
      <c r="X5" s="31" t="s">
        <v>121</v>
      </c>
      <c r="Y5" s="31" t="s">
        <v>122</v>
      </c>
      <c r="Z5" s="90" t="s">
        <v>121</v>
      </c>
      <c r="AA5" s="90" t="s">
        <v>122</v>
      </c>
      <c r="AB5" s="90" t="s">
        <v>121</v>
      </c>
      <c r="AC5" s="90" t="s">
        <v>122</v>
      </c>
      <c r="AD5" s="31" t="s">
        <v>121</v>
      </c>
      <c r="AE5" s="31" t="s">
        <v>122</v>
      </c>
      <c r="AF5" s="31" t="s">
        <v>121</v>
      </c>
      <c r="AG5" s="31" t="s">
        <v>122</v>
      </c>
      <c r="AH5" s="31" t="s">
        <v>121</v>
      </c>
      <c r="AI5" s="31" t="s">
        <v>122</v>
      </c>
      <c r="AJ5" s="31" t="s">
        <v>121</v>
      </c>
      <c r="AK5" s="31" t="s">
        <v>122</v>
      </c>
      <c r="AL5" s="31" t="s">
        <v>121</v>
      </c>
      <c r="AM5" s="31" t="s">
        <v>122</v>
      </c>
      <c r="AN5" s="31" t="s">
        <v>121</v>
      </c>
      <c r="AO5" s="31" t="s">
        <v>122</v>
      </c>
      <c r="AP5" s="31" t="s">
        <v>121</v>
      </c>
      <c r="AQ5" s="31" t="s">
        <v>122</v>
      </c>
      <c r="AR5" s="31" t="s">
        <v>121</v>
      </c>
      <c r="AS5" s="31" t="s">
        <v>122</v>
      </c>
      <c r="AT5" s="31" t="s">
        <v>121</v>
      </c>
      <c r="AU5" s="31" t="s">
        <v>122</v>
      </c>
      <c r="AV5" s="31" t="s">
        <v>121</v>
      </c>
      <c r="AW5" s="31" t="s">
        <v>122</v>
      </c>
      <c r="AX5" s="31" t="s">
        <v>121</v>
      </c>
      <c r="AY5" s="31" t="s">
        <v>122</v>
      </c>
      <c r="AZ5" s="31" t="s">
        <v>121</v>
      </c>
      <c r="BA5" s="31" t="s">
        <v>122</v>
      </c>
      <c r="BB5" s="31" t="s">
        <v>121</v>
      </c>
      <c r="BC5" s="31" t="s">
        <v>122</v>
      </c>
      <c r="BD5" s="31" t="s">
        <v>121</v>
      </c>
      <c r="BE5" s="31" t="s">
        <v>122</v>
      </c>
      <c r="BF5" s="31" t="s">
        <v>121</v>
      </c>
      <c r="BG5" s="31" t="s">
        <v>122</v>
      </c>
      <c r="BH5" s="31" t="s">
        <v>121</v>
      </c>
      <c r="BI5" s="31" t="s">
        <v>122</v>
      </c>
      <c r="BJ5" s="31" t="s">
        <v>121</v>
      </c>
      <c r="BK5" s="31" t="s">
        <v>122</v>
      </c>
      <c r="BL5" s="31" t="s">
        <v>121</v>
      </c>
      <c r="BM5" s="31" t="s">
        <v>122</v>
      </c>
      <c r="BN5" s="31" t="s">
        <v>121</v>
      </c>
      <c r="BO5" s="31" t="s">
        <v>122</v>
      </c>
      <c r="BP5" s="31" t="s">
        <v>121</v>
      </c>
      <c r="BQ5" s="31" t="s">
        <v>122</v>
      </c>
      <c r="BR5" s="31" t="s">
        <v>121</v>
      </c>
      <c r="BS5" s="31" t="s">
        <v>122</v>
      </c>
      <c r="BT5" s="31" t="s">
        <v>121</v>
      </c>
      <c r="BU5" s="31" t="s">
        <v>122</v>
      </c>
      <c r="BV5" s="31" t="s">
        <v>121</v>
      </c>
      <c r="BW5" s="31" t="s">
        <v>122</v>
      </c>
      <c r="BX5" s="31" t="s">
        <v>121</v>
      </c>
      <c r="BY5" s="31" t="s">
        <v>122</v>
      </c>
      <c r="BZ5" s="31" t="s">
        <v>121</v>
      </c>
      <c r="CA5" s="31" t="s">
        <v>122</v>
      </c>
      <c r="CB5" s="31" t="s">
        <v>121</v>
      </c>
      <c r="CC5" s="31" t="s">
        <v>122</v>
      </c>
      <c r="CD5" s="31" t="s">
        <v>121</v>
      </c>
      <c r="CE5" s="31" t="s">
        <v>122</v>
      </c>
      <c r="CF5" s="31" t="s">
        <v>121</v>
      </c>
      <c r="CG5" s="31" t="s">
        <v>122</v>
      </c>
      <c r="CH5" s="31" t="s">
        <v>121</v>
      </c>
      <c r="CI5" s="31" t="s">
        <v>122</v>
      </c>
      <c r="CJ5" s="31" t="s">
        <v>121</v>
      </c>
      <c r="CK5" s="31" t="s">
        <v>122</v>
      </c>
      <c r="CL5" s="31" t="s">
        <v>121</v>
      </c>
      <c r="CM5" s="31" t="s">
        <v>122</v>
      </c>
      <c r="CN5" s="31" t="s">
        <v>121</v>
      </c>
      <c r="CO5" s="31" t="s">
        <v>122</v>
      </c>
      <c r="CP5" s="31" t="s">
        <v>121</v>
      </c>
      <c r="CQ5" s="31" t="s">
        <v>122</v>
      </c>
      <c r="CR5" s="31" t="s">
        <v>121</v>
      </c>
      <c r="CS5" s="31" t="s">
        <v>122</v>
      </c>
      <c r="CT5" s="31" t="s">
        <v>121</v>
      </c>
      <c r="CU5" s="31" t="s">
        <v>122</v>
      </c>
      <c r="CV5" s="31" t="s">
        <v>121</v>
      </c>
      <c r="CW5" s="31" t="s">
        <v>122</v>
      </c>
      <c r="CX5" s="31" t="s">
        <v>121</v>
      </c>
      <c r="CY5" s="31" t="s">
        <v>122</v>
      </c>
      <c r="CZ5" s="31" t="s">
        <v>121</v>
      </c>
      <c r="DA5" s="31" t="s">
        <v>122</v>
      </c>
      <c r="DB5" s="31" t="s">
        <v>121</v>
      </c>
      <c r="DC5" s="31" t="s">
        <v>122</v>
      </c>
      <c r="DD5" s="31" t="s">
        <v>121</v>
      </c>
      <c r="DE5" s="31" t="s">
        <v>122</v>
      </c>
      <c r="DF5" s="31" t="s">
        <v>121</v>
      </c>
      <c r="DG5" s="31" t="s">
        <v>122</v>
      </c>
      <c r="DH5" s="31" t="s">
        <v>121</v>
      </c>
      <c r="DI5" s="31" t="s">
        <v>122</v>
      </c>
      <c r="DJ5" s="31" t="s">
        <v>121</v>
      </c>
      <c r="DK5" s="31" t="s">
        <v>122</v>
      </c>
      <c r="DL5" s="31" t="s">
        <v>121</v>
      </c>
      <c r="DM5" s="31" t="s">
        <v>122</v>
      </c>
      <c r="DN5" s="31" t="s">
        <v>121</v>
      </c>
      <c r="DO5" s="31" t="s">
        <v>122</v>
      </c>
      <c r="DP5" s="31" t="s">
        <v>121</v>
      </c>
      <c r="DQ5" s="31" t="s">
        <v>122</v>
      </c>
      <c r="DR5" s="31" t="s">
        <v>121</v>
      </c>
      <c r="DS5" s="31" t="s">
        <v>122</v>
      </c>
      <c r="DT5" s="31" t="s">
        <v>121</v>
      </c>
      <c r="DU5" s="31" t="s">
        <v>122</v>
      </c>
    </row>
    <row r="6" spans="1:125" x14ac:dyDescent="0.25">
      <c r="A6" s="24" t="s">
        <v>112</v>
      </c>
      <c r="B6" s="24"/>
      <c r="C6" s="24"/>
      <c r="D6" s="24"/>
      <c r="E6" s="24"/>
      <c r="F6" s="24">
        <v>55543</v>
      </c>
      <c r="G6" s="24">
        <v>9097</v>
      </c>
      <c r="H6" s="24">
        <v>99252</v>
      </c>
      <c r="I6" s="24">
        <v>16010</v>
      </c>
      <c r="J6" s="24"/>
      <c r="K6" s="24"/>
      <c r="L6" s="24"/>
      <c r="M6" s="24"/>
      <c r="N6" s="24">
        <v>546431</v>
      </c>
      <c r="O6" s="24">
        <v>50404</v>
      </c>
      <c r="P6" s="24">
        <v>1026622</v>
      </c>
      <c r="Q6" s="24">
        <v>96947</v>
      </c>
      <c r="R6" s="24">
        <v>197644</v>
      </c>
      <c r="S6" s="24">
        <v>40965</v>
      </c>
      <c r="T6" s="24">
        <v>371902</v>
      </c>
      <c r="U6" s="24">
        <v>74901</v>
      </c>
      <c r="V6" s="24">
        <v>11193</v>
      </c>
      <c r="W6" s="24">
        <v>1836</v>
      </c>
      <c r="X6" s="24">
        <v>21494</v>
      </c>
      <c r="Y6" s="24">
        <v>3164</v>
      </c>
      <c r="Z6" s="91"/>
      <c r="AA6" s="91"/>
      <c r="AB6" s="91"/>
      <c r="AC6" s="91"/>
      <c r="AD6" s="24">
        <v>1221</v>
      </c>
      <c r="AE6" s="24">
        <v>166.83</v>
      </c>
      <c r="AF6" s="24">
        <v>2147</v>
      </c>
      <c r="AG6" s="24">
        <v>303.39999999999998</v>
      </c>
      <c r="AH6" s="24">
        <v>108528</v>
      </c>
      <c r="AI6" s="24">
        <v>10586.42</v>
      </c>
      <c r="AJ6" s="24">
        <v>208780</v>
      </c>
      <c r="AK6" s="24">
        <v>21086.29</v>
      </c>
      <c r="AL6" s="24">
        <v>87061</v>
      </c>
      <c r="AM6" s="24">
        <v>4976</v>
      </c>
      <c r="AN6" s="24">
        <v>157446</v>
      </c>
      <c r="AO6" s="24">
        <v>9294</v>
      </c>
      <c r="AP6" s="24">
        <v>417294</v>
      </c>
      <c r="AQ6" s="24">
        <v>79798</v>
      </c>
      <c r="AR6" s="24">
        <v>754353</v>
      </c>
      <c r="AS6" s="24">
        <v>140674</v>
      </c>
      <c r="AT6" s="24">
        <v>398461</v>
      </c>
      <c r="AU6" s="24">
        <v>52478</v>
      </c>
      <c r="AV6" s="24">
        <v>750975</v>
      </c>
      <c r="AW6" s="24">
        <v>107390</v>
      </c>
      <c r="AX6" s="24">
        <v>520166</v>
      </c>
      <c r="AY6" s="24">
        <v>33382.53</v>
      </c>
      <c r="AZ6" s="24">
        <v>980293</v>
      </c>
      <c r="BA6" s="24">
        <v>65837.350000000006</v>
      </c>
      <c r="BB6" s="24">
        <v>2788</v>
      </c>
      <c r="BC6" s="24">
        <v>389</v>
      </c>
      <c r="BD6" s="24">
        <v>5614</v>
      </c>
      <c r="BE6" s="24">
        <v>765</v>
      </c>
      <c r="BF6" s="24">
        <v>31617</v>
      </c>
      <c r="BG6" s="24">
        <v>3013.42</v>
      </c>
      <c r="BH6" s="24">
        <v>56397</v>
      </c>
      <c r="BI6" s="24">
        <v>5535.88</v>
      </c>
      <c r="BJ6" s="24">
        <v>10542</v>
      </c>
      <c r="BK6" s="24">
        <v>1572</v>
      </c>
      <c r="BL6" s="24">
        <v>19407</v>
      </c>
      <c r="BM6" s="24">
        <v>2891</v>
      </c>
      <c r="BN6" s="24">
        <v>36759</v>
      </c>
      <c r="BO6" s="24">
        <v>7371</v>
      </c>
      <c r="BP6" s="24">
        <v>69651</v>
      </c>
      <c r="BQ6" s="24">
        <v>13476</v>
      </c>
      <c r="BR6" s="24">
        <v>294125</v>
      </c>
      <c r="BS6" s="24">
        <v>35577</v>
      </c>
      <c r="BT6" s="24">
        <v>295577</v>
      </c>
      <c r="BU6" s="24">
        <v>63462</v>
      </c>
      <c r="BV6" s="24">
        <v>1633957</v>
      </c>
      <c r="BW6" s="24">
        <v>137631.64000000001</v>
      </c>
      <c r="BX6" s="24">
        <v>3051757</v>
      </c>
      <c r="BY6" s="24">
        <v>263882.19</v>
      </c>
      <c r="BZ6" s="24"/>
      <c r="CA6" s="24">
        <v>116</v>
      </c>
      <c r="CB6" s="24"/>
      <c r="CC6" s="24">
        <v>131</v>
      </c>
      <c r="CD6" s="24">
        <v>666</v>
      </c>
      <c r="CE6" s="24">
        <v>152.59</v>
      </c>
      <c r="CF6" s="24">
        <v>1183</v>
      </c>
      <c r="CG6" s="24">
        <v>291.24</v>
      </c>
      <c r="CH6" s="24">
        <v>260006</v>
      </c>
      <c r="CI6" s="24">
        <v>19783</v>
      </c>
      <c r="CJ6" s="24">
        <v>309576</v>
      </c>
      <c r="CK6" s="24">
        <v>24247</v>
      </c>
      <c r="CL6" s="24">
        <v>85849</v>
      </c>
      <c r="CM6" s="24">
        <v>9400</v>
      </c>
      <c r="CN6" s="24">
        <v>162923</v>
      </c>
      <c r="CO6" s="24">
        <v>18322</v>
      </c>
      <c r="CP6" s="24">
        <v>101847</v>
      </c>
      <c r="CQ6" s="24">
        <v>14467</v>
      </c>
      <c r="CR6" s="24">
        <v>154013</v>
      </c>
      <c r="CS6" s="24">
        <v>23611</v>
      </c>
      <c r="CT6" s="24">
        <v>66031</v>
      </c>
      <c r="CU6" s="24">
        <v>3354.95</v>
      </c>
      <c r="CV6" s="24">
        <v>119163</v>
      </c>
      <c r="CW6" s="24">
        <v>6130.19</v>
      </c>
      <c r="CX6" s="24">
        <v>1782056</v>
      </c>
      <c r="CY6" s="24">
        <v>262944</v>
      </c>
      <c r="CZ6" s="24">
        <v>3151208</v>
      </c>
      <c r="DA6" s="24">
        <v>463732</v>
      </c>
      <c r="DB6" s="24">
        <v>420111</v>
      </c>
      <c r="DC6" s="24">
        <v>64895</v>
      </c>
      <c r="DD6" s="24">
        <v>753657</v>
      </c>
      <c r="DE6" s="24">
        <v>118933</v>
      </c>
      <c r="DF6" s="24">
        <v>4444311</v>
      </c>
      <c r="DG6" s="24">
        <v>228106.62</v>
      </c>
      <c r="DH6" s="24">
        <v>8189284</v>
      </c>
      <c r="DI6" s="24">
        <v>435867.14</v>
      </c>
      <c r="DJ6" s="24">
        <v>920188</v>
      </c>
      <c r="DK6" s="24">
        <v>120597.01</v>
      </c>
      <c r="DL6" s="24">
        <v>1886054</v>
      </c>
      <c r="DM6" s="24">
        <v>228241.46</v>
      </c>
      <c r="DN6" s="24">
        <v>2515734</v>
      </c>
      <c r="DO6" s="24">
        <v>176189.9</v>
      </c>
      <c r="DP6" s="24">
        <v>4717367</v>
      </c>
      <c r="DQ6" s="24">
        <v>338808.39</v>
      </c>
      <c r="DR6" s="24">
        <v>22180</v>
      </c>
      <c r="DS6" s="24">
        <v>2893</v>
      </c>
      <c r="DT6" s="24">
        <v>61527</v>
      </c>
      <c r="DU6" s="24">
        <v>5211</v>
      </c>
    </row>
    <row r="7" spans="1:125" x14ac:dyDescent="0.25">
      <c r="A7" s="24" t="s">
        <v>113</v>
      </c>
      <c r="B7" s="24"/>
      <c r="C7" s="24"/>
      <c r="D7" s="24"/>
      <c r="E7" s="24"/>
      <c r="F7" s="24">
        <v>65208</v>
      </c>
      <c r="G7" s="24">
        <v>14256</v>
      </c>
      <c r="H7" s="24">
        <v>120613</v>
      </c>
      <c r="I7" s="24">
        <v>24892</v>
      </c>
      <c r="J7" s="24"/>
      <c r="K7" s="24"/>
      <c r="L7" s="24"/>
      <c r="M7" s="24"/>
      <c r="N7" s="24">
        <v>1660509</v>
      </c>
      <c r="O7" s="24">
        <v>34507</v>
      </c>
      <c r="P7" s="24">
        <v>2903804</v>
      </c>
      <c r="Q7" s="24">
        <v>63714</v>
      </c>
      <c r="R7" s="24">
        <v>93118</v>
      </c>
      <c r="S7" s="24">
        <v>21618</v>
      </c>
      <c r="T7" s="24">
        <v>149699</v>
      </c>
      <c r="U7" s="24">
        <v>38003</v>
      </c>
      <c r="V7" s="24">
        <v>532887</v>
      </c>
      <c r="W7" s="24">
        <v>26782</v>
      </c>
      <c r="X7" s="24">
        <v>991263</v>
      </c>
      <c r="Y7" s="24">
        <v>51709</v>
      </c>
      <c r="Z7" s="91"/>
      <c r="AA7" s="91"/>
      <c r="AB7" s="91"/>
      <c r="AC7" s="91"/>
      <c r="AD7" s="24"/>
      <c r="AE7" s="24"/>
      <c r="AF7" s="24"/>
      <c r="AG7" s="24"/>
      <c r="AH7" s="24">
        <v>292762</v>
      </c>
      <c r="AI7" s="24">
        <v>7749.12</v>
      </c>
      <c r="AJ7" s="24">
        <v>564165</v>
      </c>
      <c r="AK7" s="24">
        <v>15596.25</v>
      </c>
      <c r="AL7" s="24">
        <v>5612</v>
      </c>
      <c r="AM7" s="24">
        <v>342</v>
      </c>
      <c r="AN7" s="24">
        <v>10464</v>
      </c>
      <c r="AO7" s="24">
        <v>837</v>
      </c>
      <c r="AP7" s="24">
        <v>261283</v>
      </c>
      <c r="AQ7" s="24">
        <v>39138</v>
      </c>
      <c r="AR7" s="24">
        <v>481287</v>
      </c>
      <c r="AS7" s="24">
        <v>73634</v>
      </c>
      <c r="AT7" s="24">
        <v>294965</v>
      </c>
      <c r="AU7" s="24">
        <v>41294</v>
      </c>
      <c r="AV7" s="24">
        <v>574881</v>
      </c>
      <c r="AW7" s="24">
        <v>80662</v>
      </c>
      <c r="AX7" s="24">
        <v>93054</v>
      </c>
      <c r="AY7" s="24">
        <v>2778.83</v>
      </c>
      <c r="AZ7" s="24">
        <v>165848</v>
      </c>
      <c r="BA7" s="24">
        <v>4527.29</v>
      </c>
      <c r="BB7" s="24">
        <v>173413</v>
      </c>
      <c r="BC7" s="24">
        <v>6904</v>
      </c>
      <c r="BD7" s="24">
        <v>190894</v>
      </c>
      <c r="BE7" s="24">
        <v>9382</v>
      </c>
      <c r="BF7" s="24">
        <v>8098</v>
      </c>
      <c r="BG7" s="24">
        <v>90.23</v>
      </c>
      <c r="BH7" s="24">
        <v>11809</v>
      </c>
      <c r="BI7" s="24">
        <v>136.27000000000001</v>
      </c>
      <c r="BJ7" s="24">
        <v>1661</v>
      </c>
      <c r="BK7" s="24">
        <v>12</v>
      </c>
      <c r="BL7" s="24">
        <v>3075</v>
      </c>
      <c r="BM7" s="24">
        <v>24</v>
      </c>
      <c r="BN7" s="24">
        <v>13070</v>
      </c>
      <c r="BO7" s="24">
        <v>4596</v>
      </c>
      <c r="BP7" s="24">
        <v>22005</v>
      </c>
      <c r="BQ7" s="24">
        <v>8184</v>
      </c>
      <c r="BR7" s="24">
        <v>138615</v>
      </c>
      <c r="BS7" s="24">
        <v>17383</v>
      </c>
      <c r="BT7" s="24">
        <v>139314</v>
      </c>
      <c r="BU7" s="24">
        <v>31012</v>
      </c>
      <c r="BV7" s="24">
        <v>7250</v>
      </c>
      <c r="BW7" s="24">
        <v>352.65</v>
      </c>
      <c r="BX7" s="24">
        <v>15182</v>
      </c>
      <c r="BY7" s="24">
        <v>879.06</v>
      </c>
      <c r="BZ7" s="24"/>
      <c r="CA7" s="24">
        <v>1</v>
      </c>
      <c r="CB7" s="24"/>
      <c r="CC7" s="24">
        <v>1</v>
      </c>
      <c r="CD7" s="24"/>
      <c r="CE7" s="24"/>
      <c r="CF7" s="24"/>
      <c r="CG7" s="24"/>
      <c r="CH7" s="24">
        <v>176554</v>
      </c>
      <c r="CI7" s="24">
        <v>12270</v>
      </c>
      <c r="CJ7" s="24">
        <v>188172</v>
      </c>
      <c r="CK7" s="24">
        <v>9286</v>
      </c>
      <c r="CL7" s="24">
        <v>12621</v>
      </c>
      <c r="CM7" s="24">
        <v>1769</v>
      </c>
      <c r="CN7" s="24">
        <v>23468</v>
      </c>
      <c r="CO7" s="24">
        <v>3379</v>
      </c>
      <c r="CP7" s="24">
        <v>643503</v>
      </c>
      <c r="CQ7" s="24">
        <v>79444</v>
      </c>
      <c r="CR7" s="24">
        <v>1139124</v>
      </c>
      <c r="CS7" s="24">
        <v>133576</v>
      </c>
      <c r="CT7" s="24">
        <v>6738</v>
      </c>
      <c r="CU7" s="24">
        <v>254.46</v>
      </c>
      <c r="CV7" s="24">
        <v>10032</v>
      </c>
      <c r="CW7" s="24">
        <v>328.75</v>
      </c>
      <c r="CX7" s="24">
        <v>54149</v>
      </c>
      <c r="CY7" s="24">
        <v>15818</v>
      </c>
      <c r="CZ7" s="24">
        <v>95129</v>
      </c>
      <c r="DA7" s="24">
        <v>23352</v>
      </c>
      <c r="DB7" s="24">
        <v>420622</v>
      </c>
      <c r="DC7" s="24">
        <v>36908</v>
      </c>
      <c r="DD7" s="24">
        <v>697649</v>
      </c>
      <c r="DE7" s="24">
        <v>65483</v>
      </c>
      <c r="DF7" s="24">
        <v>75586</v>
      </c>
      <c r="DG7" s="24">
        <v>5679.73</v>
      </c>
      <c r="DH7" s="24">
        <v>139058</v>
      </c>
      <c r="DI7" s="24">
        <v>11057.29</v>
      </c>
      <c r="DJ7" s="24">
        <v>72158</v>
      </c>
      <c r="DK7" s="24">
        <v>6568.23</v>
      </c>
      <c r="DL7" s="24">
        <v>141697</v>
      </c>
      <c r="DM7" s="24">
        <v>13565.14</v>
      </c>
      <c r="DN7" s="24">
        <v>72751</v>
      </c>
      <c r="DO7" s="24">
        <v>8184.46</v>
      </c>
      <c r="DP7" s="24">
        <v>135881</v>
      </c>
      <c r="DQ7" s="24">
        <v>20010.810000000001</v>
      </c>
      <c r="DR7" s="24">
        <v>151460</v>
      </c>
      <c r="DS7" s="24">
        <v>5986</v>
      </c>
      <c r="DT7" s="24">
        <v>297008</v>
      </c>
      <c r="DU7" s="24">
        <v>15776</v>
      </c>
    </row>
    <row r="8" spans="1:125" x14ac:dyDescent="0.25">
      <c r="A8" s="24" t="s">
        <v>114</v>
      </c>
      <c r="B8" s="24">
        <v>65019</v>
      </c>
      <c r="C8" s="24">
        <v>1578</v>
      </c>
      <c r="D8" s="24">
        <v>112942</v>
      </c>
      <c r="E8" s="24">
        <v>3336</v>
      </c>
      <c r="F8" s="24">
        <v>1110</v>
      </c>
      <c r="G8" s="24">
        <v>6563</v>
      </c>
      <c r="H8" s="24">
        <v>2025</v>
      </c>
      <c r="I8" s="24">
        <v>14714</v>
      </c>
      <c r="J8" s="24"/>
      <c r="K8" s="24"/>
      <c r="L8" s="24"/>
      <c r="M8" s="24"/>
      <c r="N8" s="24">
        <v>682066</v>
      </c>
      <c r="O8" s="24">
        <v>11978</v>
      </c>
      <c r="P8" s="24">
        <v>1249153</v>
      </c>
      <c r="Q8" s="24">
        <v>22566</v>
      </c>
      <c r="R8" s="24">
        <v>5703</v>
      </c>
      <c r="S8" s="24">
        <v>3841</v>
      </c>
      <c r="T8" s="24">
        <v>10692</v>
      </c>
      <c r="U8" s="24">
        <v>9608</v>
      </c>
      <c r="V8" s="24">
        <v>1239480</v>
      </c>
      <c r="W8" s="24">
        <v>48865</v>
      </c>
      <c r="X8" s="24">
        <v>2281693</v>
      </c>
      <c r="Y8" s="24">
        <v>92469</v>
      </c>
      <c r="Z8" s="91"/>
      <c r="AA8" s="91"/>
      <c r="AB8" s="91"/>
      <c r="AC8" s="91"/>
      <c r="AD8" s="24">
        <v>934</v>
      </c>
      <c r="AE8" s="24">
        <v>776.44</v>
      </c>
      <c r="AF8" s="24">
        <v>2170</v>
      </c>
      <c r="AG8" s="24">
        <v>875.43</v>
      </c>
      <c r="AH8" s="24">
        <v>18685</v>
      </c>
      <c r="AI8" s="24">
        <v>1164.1300000000001</v>
      </c>
      <c r="AJ8" s="24">
        <v>35092</v>
      </c>
      <c r="AK8" s="24">
        <v>2020.49</v>
      </c>
      <c r="AL8" s="24">
        <v>19005</v>
      </c>
      <c r="AM8" s="24">
        <v>910</v>
      </c>
      <c r="AN8" s="24">
        <v>39099</v>
      </c>
      <c r="AO8" s="24">
        <v>2206</v>
      </c>
      <c r="AP8" s="24">
        <v>78370</v>
      </c>
      <c r="AQ8" s="24">
        <v>20067</v>
      </c>
      <c r="AR8" s="24">
        <v>154473</v>
      </c>
      <c r="AS8" s="24">
        <v>38313</v>
      </c>
      <c r="AT8" s="24">
        <v>273525</v>
      </c>
      <c r="AU8" s="24">
        <v>22099</v>
      </c>
      <c r="AV8" s="24">
        <v>585292</v>
      </c>
      <c r="AW8" s="24">
        <v>39857</v>
      </c>
      <c r="AX8" s="24">
        <v>8822</v>
      </c>
      <c r="AY8" s="24">
        <v>649.91999999999996</v>
      </c>
      <c r="AZ8" s="24">
        <v>16253</v>
      </c>
      <c r="BA8" s="24">
        <v>1086.93</v>
      </c>
      <c r="BB8" s="24">
        <v>289628</v>
      </c>
      <c r="BC8" s="24">
        <v>2444</v>
      </c>
      <c r="BD8" s="24">
        <v>476002</v>
      </c>
      <c r="BE8" s="24">
        <v>3487</v>
      </c>
      <c r="BF8" s="24">
        <v>4940</v>
      </c>
      <c r="BG8" s="24">
        <v>970.97</v>
      </c>
      <c r="BH8" s="24">
        <v>9374</v>
      </c>
      <c r="BI8" s="24">
        <v>1732.5</v>
      </c>
      <c r="BJ8" s="24">
        <v>11796</v>
      </c>
      <c r="BK8" s="24">
        <v>1276</v>
      </c>
      <c r="BL8" s="24">
        <v>22551</v>
      </c>
      <c r="BM8" s="24">
        <v>2500</v>
      </c>
      <c r="BN8" s="24">
        <v>3215</v>
      </c>
      <c r="BO8" s="24">
        <v>2328</v>
      </c>
      <c r="BP8" s="24">
        <v>5977</v>
      </c>
      <c r="BQ8" s="24">
        <v>3874</v>
      </c>
      <c r="BR8" s="24">
        <v>1581</v>
      </c>
      <c r="BS8" s="24">
        <v>8080</v>
      </c>
      <c r="BT8" s="24">
        <v>1582</v>
      </c>
      <c r="BU8" s="24">
        <v>14763</v>
      </c>
      <c r="BV8" s="24">
        <v>170</v>
      </c>
      <c r="BW8" s="24">
        <v>69.78</v>
      </c>
      <c r="BX8" s="24">
        <v>291</v>
      </c>
      <c r="BY8" s="24">
        <v>163.72999999999999</v>
      </c>
      <c r="BZ8" s="24">
        <v>-1862</v>
      </c>
      <c r="CA8" s="24">
        <v>-103</v>
      </c>
      <c r="CB8" s="24">
        <v>2040</v>
      </c>
      <c r="CC8" s="24">
        <v>228</v>
      </c>
      <c r="CD8" s="24"/>
      <c r="CE8" s="24"/>
      <c r="CF8" s="24"/>
      <c r="CG8" s="24"/>
      <c r="CH8" s="24">
        <v>43165</v>
      </c>
      <c r="CI8" s="24">
        <v>10586</v>
      </c>
      <c r="CJ8" s="24">
        <v>82396</v>
      </c>
      <c r="CK8" s="24">
        <v>10866</v>
      </c>
      <c r="CL8" s="24">
        <v>25663</v>
      </c>
      <c r="CM8" s="24">
        <v>6257</v>
      </c>
      <c r="CN8" s="24">
        <v>48609</v>
      </c>
      <c r="CO8" s="24">
        <v>11380</v>
      </c>
      <c r="CP8" s="24">
        <v>18428</v>
      </c>
      <c r="CQ8" s="24">
        <v>2043</v>
      </c>
      <c r="CR8" s="24">
        <v>35452</v>
      </c>
      <c r="CS8" s="24">
        <v>4509</v>
      </c>
      <c r="CT8" s="24">
        <v>396493</v>
      </c>
      <c r="CU8" s="24">
        <v>23279.55</v>
      </c>
      <c r="CV8" s="24">
        <v>620518</v>
      </c>
      <c r="CW8" s="24">
        <v>33939.07</v>
      </c>
      <c r="CX8" s="24">
        <v>4533</v>
      </c>
      <c r="CY8" s="24">
        <v>-1019</v>
      </c>
      <c r="CZ8" s="24">
        <v>8064</v>
      </c>
      <c r="DA8" s="24">
        <v>1590</v>
      </c>
      <c r="DB8" s="24">
        <v>307142</v>
      </c>
      <c r="DC8" s="24">
        <v>7487</v>
      </c>
      <c r="DD8" s="24">
        <v>574998</v>
      </c>
      <c r="DE8" s="24">
        <v>13652</v>
      </c>
      <c r="DF8" s="24">
        <v>20154</v>
      </c>
      <c r="DG8" s="24">
        <v>2915.52</v>
      </c>
      <c r="DH8" s="24">
        <v>37522</v>
      </c>
      <c r="DI8" s="24">
        <v>6611.22</v>
      </c>
      <c r="DJ8" s="24">
        <v>33338</v>
      </c>
      <c r="DK8" s="24">
        <v>1809.74</v>
      </c>
      <c r="DL8" s="24">
        <v>62078</v>
      </c>
      <c r="DM8" s="24">
        <v>3263.95</v>
      </c>
      <c r="DN8" s="24">
        <v>13042</v>
      </c>
      <c r="DO8" s="24">
        <v>2903.01</v>
      </c>
      <c r="DP8" s="24">
        <v>26485</v>
      </c>
      <c r="DQ8" s="24">
        <v>5385.63</v>
      </c>
      <c r="DR8" s="24">
        <v>57</v>
      </c>
      <c r="DS8" s="24">
        <v>18</v>
      </c>
      <c r="DT8" s="24">
        <v>120</v>
      </c>
      <c r="DU8" s="24">
        <v>20</v>
      </c>
    </row>
    <row r="9" spans="1:125" x14ac:dyDescent="0.25">
      <c r="A9" s="24" t="s">
        <v>115</v>
      </c>
      <c r="B9" s="24">
        <v>35501</v>
      </c>
      <c r="C9" s="24">
        <v>12077</v>
      </c>
      <c r="D9" s="24">
        <v>72820</v>
      </c>
      <c r="E9" s="24">
        <v>23628</v>
      </c>
      <c r="F9" s="24">
        <v>37826</v>
      </c>
      <c r="G9" s="24">
        <v>28495</v>
      </c>
      <c r="H9" s="24">
        <v>73359</v>
      </c>
      <c r="I9" s="24">
        <v>61606</v>
      </c>
      <c r="J9" s="24">
        <v>6402968</v>
      </c>
      <c r="K9" s="24">
        <v>74751.570000000007</v>
      </c>
      <c r="L9" s="24">
        <v>6564730</v>
      </c>
      <c r="M9" s="24">
        <v>75793.94</v>
      </c>
      <c r="N9" s="24">
        <v>2169528</v>
      </c>
      <c r="O9" s="24">
        <v>140211</v>
      </c>
      <c r="P9" s="24">
        <v>3913736</v>
      </c>
      <c r="Q9" s="24">
        <v>280692</v>
      </c>
      <c r="R9" s="24">
        <v>97409</v>
      </c>
      <c r="S9" s="24">
        <v>43834</v>
      </c>
      <c r="T9" s="24">
        <v>193272</v>
      </c>
      <c r="U9" s="24">
        <v>78844</v>
      </c>
      <c r="V9" s="24">
        <v>952167</v>
      </c>
      <c r="W9" s="24">
        <v>59265</v>
      </c>
      <c r="X9" s="24">
        <v>1622157</v>
      </c>
      <c r="Y9" s="24">
        <v>106336</v>
      </c>
      <c r="Z9" s="91">
        <v>184</v>
      </c>
      <c r="AA9" s="91">
        <v>5114.37</v>
      </c>
      <c r="AB9" s="91">
        <v>353</v>
      </c>
      <c r="AC9" s="91">
        <v>7503.21</v>
      </c>
      <c r="AD9" s="24">
        <v>81802</v>
      </c>
      <c r="AE9" s="24">
        <v>12130.9</v>
      </c>
      <c r="AF9" s="24">
        <v>134265</v>
      </c>
      <c r="AG9" s="24">
        <v>20537.38</v>
      </c>
      <c r="AH9" s="24">
        <v>201883</v>
      </c>
      <c r="AI9" s="24">
        <v>33245.699999999997</v>
      </c>
      <c r="AJ9" s="24">
        <v>501332</v>
      </c>
      <c r="AK9" s="24">
        <v>77988.55</v>
      </c>
      <c r="AL9" s="24">
        <v>1643149</v>
      </c>
      <c r="AM9" s="24">
        <v>100309</v>
      </c>
      <c r="AN9" s="24">
        <v>2907051</v>
      </c>
      <c r="AO9" s="24">
        <v>212190</v>
      </c>
      <c r="AP9" s="24">
        <v>962493</v>
      </c>
      <c r="AQ9" s="24">
        <v>130755</v>
      </c>
      <c r="AR9" s="24">
        <v>1747249</v>
      </c>
      <c r="AS9" s="24">
        <v>263356</v>
      </c>
      <c r="AT9" s="24">
        <v>3334854</v>
      </c>
      <c r="AU9" s="24">
        <v>218215</v>
      </c>
      <c r="AV9" s="24">
        <v>6657565</v>
      </c>
      <c r="AW9" s="24">
        <v>478708</v>
      </c>
      <c r="AX9" s="24">
        <v>787660</v>
      </c>
      <c r="AY9" s="24">
        <v>124689.31</v>
      </c>
      <c r="AZ9" s="24">
        <v>1387503</v>
      </c>
      <c r="BA9" s="24">
        <v>228848.98</v>
      </c>
      <c r="BB9" s="24">
        <v>291938</v>
      </c>
      <c r="BC9" s="24">
        <v>10185</v>
      </c>
      <c r="BD9" s="24">
        <v>582304</v>
      </c>
      <c r="BE9" s="24">
        <v>18884</v>
      </c>
      <c r="BF9" s="24">
        <v>562054</v>
      </c>
      <c r="BG9" s="24">
        <v>33866.660000000003</v>
      </c>
      <c r="BH9" s="24">
        <v>1040915</v>
      </c>
      <c r="BI9" s="24">
        <v>68983.02</v>
      </c>
      <c r="BJ9" s="24">
        <v>422890</v>
      </c>
      <c r="BK9" s="24">
        <v>41912</v>
      </c>
      <c r="BL9" s="24">
        <v>784407</v>
      </c>
      <c r="BM9" s="24">
        <v>82280</v>
      </c>
      <c r="BN9" s="24">
        <v>29863</v>
      </c>
      <c r="BO9" s="24">
        <v>10142</v>
      </c>
      <c r="BP9" s="24">
        <v>55236</v>
      </c>
      <c r="BQ9" s="24">
        <v>18918</v>
      </c>
      <c r="BR9" s="24">
        <v>189704</v>
      </c>
      <c r="BS9" s="24">
        <v>19353</v>
      </c>
      <c r="BT9" s="24">
        <v>192879</v>
      </c>
      <c r="BU9" s="24">
        <v>35141</v>
      </c>
      <c r="BV9" s="24">
        <v>1643508</v>
      </c>
      <c r="BW9" s="24">
        <v>120237.56</v>
      </c>
      <c r="BX9" s="24">
        <v>3117745</v>
      </c>
      <c r="BY9" s="24">
        <v>233520.95</v>
      </c>
      <c r="BZ9" s="24">
        <v>37</v>
      </c>
      <c r="CA9" s="24">
        <v>259</v>
      </c>
      <c r="CB9" s="24">
        <v>31687</v>
      </c>
      <c r="CC9" s="24">
        <v>969</v>
      </c>
      <c r="CD9" s="24">
        <v>49999</v>
      </c>
      <c r="CE9" s="24">
        <v>12289.31</v>
      </c>
      <c r="CF9" s="24">
        <v>90320</v>
      </c>
      <c r="CG9" s="24">
        <v>22247.31</v>
      </c>
      <c r="CH9" s="24">
        <v>923211</v>
      </c>
      <c r="CI9" s="24">
        <v>82628</v>
      </c>
      <c r="CJ9" s="24">
        <v>663430</v>
      </c>
      <c r="CK9" s="24">
        <v>70462</v>
      </c>
      <c r="CL9" s="24">
        <v>321889</v>
      </c>
      <c r="CM9" s="24">
        <v>42791</v>
      </c>
      <c r="CN9" s="24">
        <v>553171</v>
      </c>
      <c r="CO9" s="24">
        <v>83042</v>
      </c>
      <c r="CP9" s="24">
        <v>442202</v>
      </c>
      <c r="CQ9" s="24">
        <v>67090</v>
      </c>
      <c r="CR9" s="24">
        <v>1051909</v>
      </c>
      <c r="CS9" s="24">
        <v>154796</v>
      </c>
      <c r="CT9" s="24">
        <v>131588</v>
      </c>
      <c r="CU9" s="24">
        <v>9509.1200000000008</v>
      </c>
      <c r="CV9" s="24">
        <v>229837</v>
      </c>
      <c r="CW9" s="24">
        <v>18476.97</v>
      </c>
      <c r="CX9" s="24">
        <v>77029</v>
      </c>
      <c r="CY9" s="24">
        <v>14891</v>
      </c>
      <c r="CZ9" s="24">
        <v>150192</v>
      </c>
      <c r="DA9" s="24">
        <v>26616</v>
      </c>
      <c r="DB9" s="24">
        <v>734274</v>
      </c>
      <c r="DC9" s="24">
        <v>123678</v>
      </c>
      <c r="DD9" s="24">
        <v>1711154</v>
      </c>
      <c r="DE9" s="24">
        <v>256839</v>
      </c>
      <c r="DF9" s="24">
        <v>839039</v>
      </c>
      <c r="DG9" s="24">
        <v>282479.48</v>
      </c>
      <c r="DH9" s="24">
        <v>1571235</v>
      </c>
      <c r="DI9" s="24">
        <v>629959.9</v>
      </c>
      <c r="DJ9" s="24">
        <v>215267</v>
      </c>
      <c r="DK9" s="24">
        <v>123590.1</v>
      </c>
      <c r="DL9" s="24">
        <v>433168</v>
      </c>
      <c r="DM9" s="24">
        <v>234657.38</v>
      </c>
      <c r="DN9" s="24">
        <v>166686</v>
      </c>
      <c r="DO9" s="24">
        <v>82510.39</v>
      </c>
      <c r="DP9" s="24">
        <v>271451</v>
      </c>
      <c r="DQ9" s="24">
        <v>185052.59</v>
      </c>
      <c r="DR9" s="24">
        <v>556401</v>
      </c>
      <c r="DS9" s="24">
        <v>45286</v>
      </c>
      <c r="DT9" s="24">
        <v>1054823</v>
      </c>
      <c r="DU9" s="24">
        <v>93194</v>
      </c>
    </row>
    <row r="10" spans="1:125" x14ac:dyDescent="0.25">
      <c r="A10" s="24" t="s">
        <v>116</v>
      </c>
      <c r="B10" s="24"/>
      <c r="C10" s="24"/>
      <c r="D10" s="24"/>
      <c r="E10" s="24"/>
      <c r="F10" s="24"/>
      <c r="G10" s="24"/>
      <c r="H10" s="24"/>
      <c r="I10" s="24"/>
      <c r="J10" s="24">
        <v>9663</v>
      </c>
      <c r="K10" s="24">
        <v>667.26</v>
      </c>
      <c r="L10" s="24">
        <v>10207</v>
      </c>
      <c r="M10" s="24">
        <v>693.34</v>
      </c>
      <c r="N10" s="24"/>
      <c r="O10" s="24"/>
      <c r="P10" s="24"/>
      <c r="Q10" s="24"/>
      <c r="R10" s="24"/>
      <c r="S10" s="24">
        <v>1581</v>
      </c>
      <c r="T10" s="24">
        <v>1</v>
      </c>
      <c r="U10" s="24">
        <v>3152</v>
      </c>
      <c r="V10" s="24"/>
      <c r="W10" s="24"/>
      <c r="X10" s="24"/>
      <c r="Y10" s="24"/>
      <c r="Z10" s="91"/>
      <c r="AA10" s="91"/>
      <c r="AB10" s="91"/>
      <c r="AC10" s="91"/>
      <c r="AD10" s="24"/>
      <c r="AE10" s="24"/>
      <c r="AF10" s="24"/>
      <c r="AG10" s="24"/>
      <c r="AH10" s="24">
        <v>3</v>
      </c>
      <c r="AI10" s="24">
        <v>0.52</v>
      </c>
      <c r="AJ10" s="24">
        <v>5</v>
      </c>
      <c r="AK10" s="24">
        <v>0.52</v>
      </c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>
        <v>12</v>
      </c>
      <c r="CM10" s="24"/>
      <c r="CN10" s="24">
        <v>20</v>
      </c>
      <c r="CO10" s="24">
        <v>1</v>
      </c>
      <c r="CP10" s="24">
        <v>1</v>
      </c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>
        <v>3</v>
      </c>
      <c r="DG10" s="24">
        <v>0.05</v>
      </c>
      <c r="DH10" s="24">
        <v>8</v>
      </c>
      <c r="DI10" s="24">
        <v>5.6</v>
      </c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</row>
    <row r="11" spans="1:125" x14ac:dyDescent="0.25">
      <c r="A11" s="24" t="s">
        <v>117</v>
      </c>
      <c r="B11" s="24">
        <v>506433</v>
      </c>
      <c r="C11" s="24">
        <v>25132</v>
      </c>
      <c r="D11" s="24">
        <v>895545</v>
      </c>
      <c r="E11" s="24">
        <v>43644</v>
      </c>
      <c r="F11" s="24">
        <f>3646+3331</f>
        <v>6977</v>
      </c>
      <c r="G11" s="24">
        <f>1661+3853</f>
        <v>5514</v>
      </c>
      <c r="H11" s="24">
        <f>6949+6169</f>
        <v>13118</v>
      </c>
      <c r="I11" s="24">
        <f>3510+6154</f>
        <v>9664</v>
      </c>
      <c r="J11" s="24">
        <v>12213</v>
      </c>
      <c r="K11" s="24">
        <v>906.42</v>
      </c>
      <c r="L11" s="24">
        <v>14338</v>
      </c>
      <c r="M11" s="24">
        <v>965.92</v>
      </c>
      <c r="N11" s="24">
        <f>1089+60737+699477</f>
        <v>761303</v>
      </c>
      <c r="O11" s="24">
        <f>109+2252+189203</f>
        <v>191564</v>
      </c>
      <c r="P11" s="24">
        <f>1860+114401+1282594</f>
        <v>1398855</v>
      </c>
      <c r="Q11" s="24">
        <f>180+4410+261698</f>
        <v>266288</v>
      </c>
      <c r="R11" s="24">
        <f>25707+43010</f>
        <v>68717</v>
      </c>
      <c r="S11" s="24">
        <f>8186+6523</f>
        <v>14709</v>
      </c>
      <c r="T11" s="24">
        <f>51947+86670</f>
        <v>138617</v>
      </c>
      <c r="U11" s="24">
        <f>15884+12817</f>
        <v>28701</v>
      </c>
      <c r="V11" s="24">
        <v>40238</v>
      </c>
      <c r="W11" s="24">
        <v>8388</v>
      </c>
      <c r="X11" s="24">
        <v>91644</v>
      </c>
      <c r="Y11" s="24">
        <v>18466</v>
      </c>
      <c r="Z11" s="91">
        <v>859</v>
      </c>
      <c r="AA11" s="91">
        <v>8747.19</v>
      </c>
      <c r="AB11" s="91">
        <v>1657</v>
      </c>
      <c r="AC11" s="91">
        <v>17597.060000000001</v>
      </c>
      <c r="AD11" s="24">
        <v>10957</v>
      </c>
      <c r="AE11" s="24">
        <v>2126.91</v>
      </c>
      <c r="AF11" s="24">
        <v>25521</v>
      </c>
      <c r="AG11" s="24">
        <v>4103.91</v>
      </c>
      <c r="AH11" s="24">
        <v>99122</v>
      </c>
      <c r="AI11" s="24">
        <v>46549.63</v>
      </c>
      <c r="AJ11" s="24">
        <v>203554</v>
      </c>
      <c r="AK11" s="24">
        <v>62880.03</v>
      </c>
      <c r="AL11" s="24">
        <f>261272+101564</f>
        <v>362836</v>
      </c>
      <c r="AM11" s="24">
        <f>19076+2666</f>
        <v>21742</v>
      </c>
      <c r="AN11" s="24">
        <f>171960+506003</f>
        <v>677963</v>
      </c>
      <c r="AO11" s="24">
        <f>37908+5263</f>
        <v>43171</v>
      </c>
      <c r="AP11" s="24">
        <f>185404+63520</f>
        <v>248924</v>
      </c>
      <c r="AQ11" s="24">
        <f>10697+193354</f>
        <v>204051</v>
      </c>
      <c r="AR11" s="24">
        <f>334939+117757</f>
        <v>452696</v>
      </c>
      <c r="AS11" s="24">
        <f>20701+230548</f>
        <v>251249</v>
      </c>
      <c r="AT11" s="24">
        <f>137609+259914</f>
        <v>397523</v>
      </c>
      <c r="AU11" s="24">
        <f>10327+138094</f>
        <v>148421</v>
      </c>
      <c r="AV11" s="24">
        <f>484904+324591</f>
        <v>809495</v>
      </c>
      <c r="AW11" s="24">
        <f>20160+260937</f>
        <v>281097</v>
      </c>
      <c r="AX11" s="24">
        <v>131956</v>
      </c>
      <c r="AY11" s="24">
        <v>60614.45</v>
      </c>
      <c r="AZ11" s="24">
        <v>246450</v>
      </c>
      <c r="BA11" s="24">
        <v>120422.82</v>
      </c>
      <c r="BB11" s="24">
        <v>235473</v>
      </c>
      <c r="BC11" s="24">
        <v>7221</v>
      </c>
      <c r="BD11" s="24">
        <v>586928</v>
      </c>
      <c r="BE11" s="24">
        <v>15515</v>
      </c>
      <c r="BF11" s="24">
        <v>25607</v>
      </c>
      <c r="BG11" s="24">
        <v>2389.9</v>
      </c>
      <c r="BH11" s="24">
        <v>43945</v>
      </c>
      <c r="BI11" s="24">
        <v>5910.18</v>
      </c>
      <c r="BJ11" s="24">
        <f>1471+31696</f>
        <v>33167</v>
      </c>
      <c r="BK11" s="24">
        <f>9+4336</f>
        <v>4345</v>
      </c>
      <c r="BL11" s="24">
        <f>2803+65631</f>
        <v>68434</v>
      </c>
      <c r="BM11" s="24">
        <f>16+6890</f>
        <v>6906</v>
      </c>
      <c r="BN11" s="24">
        <f>2843+2091+53</f>
        <v>4987</v>
      </c>
      <c r="BO11" s="24">
        <f>5807+410+28</f>
        <v>6245</v>
      </c>
      <c r="BP11" s="24">
        <f>5791+4059+151</f>
        <v>10001</v>
      </c>
      <c r="BQ11" s="24">
        <f>13785+752+131</f>
        <v>14668</v>
      </c>
      <c r="BR11" s="86">
        <f>124483+1598</f>
        <v>126081</v>
      </c>
      <c r="BS11" s="86">
        <f>14695+94</f>
        <v>14789</v>
      </c>
      <c r="BT11" s="86">
        <f>124683+1599</f>
        <v>126282</v>
      </c>
      <c r="BU11" s="86">
        <f>28493+176</f>
        <v>28669</v>
      </c>
      <c r="BV11" s="24">
        <v>70197</v>
      </c>
      <c r="BW11" s="24">
        <v>201086.22</v>
      </c>
      <c r="BX11" s="24">
        <v>129853</v>
      </c>
      <c r="BY11" s="24">
        <v>281906.01</v>
      </c>
      <c r="BZ11" s="24">
        <f>15271+12</f>
        <v>15283</v>
      </c>
      <c r="CA11" s="24">
        <f>871+163</f>
        <v>1034</v>
      </c>
      <c r="CB11" s="24">
        <f>25099+54223</f>
        <v>79322</v>
      </c>
      <c r="CC11" s="24">
        <f>1645+347</f>
        <v>1992</v>
      </c>
      <c r="CD11" s="24">
        <f>3+56+4643</f>
        <v>4702</v>
      </c>
      <c r="CE11" s="24">
        <f>0.48+1.59+857.85</f>
        <v>859.92000000000007</v>
      </c>
      <c r="CF11" s="24">
        <f>14+144+8538</f>
        <v>8696</v>
      </c>
      <c r="CG11" s="24">
        <f>2.15+4.26+1639.66</f>
        <v>1646.0700000000002</v>
      </c>
      <c r="CH11" s="24">
        <f>40893+113232</f>
        <v>154125</v>
      </c>
      <c r="CI11" s="24">
        <f>1619+176581</f>
        <v>178200</v>
      </c>
      <c r="CJ11" s="24">
        <f>74142+75721</f>
        <v>149863</v>
      </c>
      <c r="CK11" s="24">
        <f>1694+168597</f>
        <v>170291</v>
      </c>
      <c r="CL11" s="24">
        <f>17126+51785</f>
        <v>68911</v>
      </c>
      <c r="CM11" s="24">
        <f>1324+3260</f>
        <v>4584</v>
      </c>
      <c r="CN11" s="24">
        <f>30871+75452</f>
        <v>106323</v>
      </c>
      <c r="CO11" s="24">
        <f>2461+6093</f>
        <v>8554</v>
      </c>
      <c r="CP11" s="24">
        <f>5779+5187215</f>
        <v>5192994</v>
      </c>
      <c r="CQ11" s="24">
        <f>487+159467</f>
        <v>159954</v>
      </c>
      <c r="CR11" s="24">
        <f>12309+5333411</f>
        <v>5345720</v>
      </c>
      <c r="CS11" s="24">
        <f>1037+174184</f>
        <v>175221</v>
      </c>
      <c r="CT11" s="24">
        <v>47549</v>
      </c>
      <c r="CU11" s="24">
        <v>2176.41</v>
      </c>
      <c r="CV11" s="24">
        <v>86172</v>
      </c>
      <c r="CW11" s="24">
        <v>4097.47</v>
      </c>
      <c r="CX11" s="24">
        <f>150444</f>
        <v>150444</v>
      </c>
      <c r="CY11" s="24">
        <f>26071</f>
        <v>26071</v>
      </c>
      <c r="CZ11" s="24">
        <f>281400</f>
        <v>281400</v>
      </c>
      <c r="DA11" s="24">
        <f>49176</f>
        <v>49176</v>
      </c>
      <c r="DB11" s="24">
        <v>619725</v>
      </c>
      <c r="DC11" s="24">
        <v>42475</v>
      </c>
      <c r="DD11" s="24">
        <v>1026984</v>
      </c>
      <c r="DE11" s="24">
        <v>89462</v>
      </c>
      <c r="DF11" s="24">
        <v>257234</v>
      </c>
      <c r="DG11" s="24">
        <v>202671.07</v>
      </c>
      <c r="DH11" s="24">
        <v>528302</v>
      </c>
      <c r="DI11" s="24">
        <v>524290.09</v>
      </c>
      <c r="DJ11" s="24">
        <f>42579+26581</f>
        <v>69160</v>
      </c>
      <c r="DK11" s="24">
        <f>151808.95+384</f>
        <v>152192.95000000001</v>
      </c>
      <c r="DL11" s="24">
        <f>65582+44125</f>
        <v>109707</v>
      </c>
      <c r="DM11" s="24">
        <f>522.25+275762.02</f>
        <v>276284.27</v>
      </c>
      <c r="DN11" s="24">
        <f>1859+108165+20</f>
        <v>110044</v>
      </c>
      <c r="DO11" s="24">
        <f>1559.3+0.64+132933.29</f>
        <v>134493.23000000001</v>
      </c>
      <c r="DP11" s="24">
        <f>2787+8410+196951</f>
        <v>208148</v>
      </c>
      <c r="DQ11" s="24">
        <f>3157.79+372.8+253371.3</f>
        <v>256901.88999999998</v>
      </c>
      <c r="DR11" s="24">
        <f>1876+4868</f>
        <v>6744</v>
      </c>
      <c r="DS11" s="24">
        <f>96+60811</f>
        <v>60907</v>
      </c>
      <c r="DT11" s="24">
        <f>2812+5767</f>
        <v>8579</v>
      </c>
      <c r="DU11" s="24">
        <f>10725+66426</f>
        <v>77151</v>
      </c>
    </row>
    <row r="12" spans="1:125" x14ac:dyDescent="0.25">
      <c r="A12" s="24" t="s">
        <v>31</v>
      </c>
      <c r="B12" s="24">
        <f>B13-B11-B10-B9-B8-B7-B6</f>
        <v>0</v>
      </c>
      <c r="C12" s="24">
        <f t="shared" ref="C12:BN12" si="0">C13-C11-C10-C9-C8-C7-C6</f>
        <v>0</v>
      </c>
      <c r="D12" s="24">
        <f t="shared" si="0"/>
        <v>0</v>
      </c>
      <c r="E12" s="24">
        <f t="shared" si="0"/>
        <v>0</v>
      </c>
      <c r="F12" s="24">
        <f t="shared" si="0"/>
        <v>554</v>
      </c>
      <c r="G12" s="24">
        <f t="shared" si="0"/>
        <v>97</v>
      </c>
      <c r="H12" s="24">
        <f t="shared" si="0"/>
        <v>1050</v>
      </c>
      <c r="I12" s="24">
        <f t="shared" si="0"/>
        <v>175</v>
      </c>
      <c r="J12" s="24">
        <f t="shared" si="0"/>
        <v>26987069</v>
      </c>
      <c r="K12" s="24">
        <f t="shared" si="0"/>
        <v>802229.57999999984</v>
      </c>
      <c r="L12" s="24">
        <f t="shared" si="0"/>
        <v>27317571</v>
      </c>
      <c r="M12" s="24">
        <f t="shared" si="0"/>
        <v>813039.3</v>
      </c>
      <c r="N12" s="24">
        <f t="shared" si="0"/>
        <v>986030</v>
      </c>
      <c r="O12" s="24">
        <f t="shared" si="0"/>
        <v>44443</v>
      </c>
      <c r="P12" s="24">
        <f t="shared" si="0"/>
        <v>1233439</v>
      </c>
      <c r="Q12" s="24">
        <f t="shared" si="0"/>
        <v>52916</v>
      </c>
      <c r="R12" s="24">
        <f t="shared" si="0"/>
        <v>31277</v>
      </c>
      <c r="S12" s="24">
        <f t="shared" si="0"/>
        <v>3348</v>
      </c>
      <c r="T12" s="24">
        <f t="shared" si="0"/>
        <v>60624</v>
      </c>
      <c r="U12" s="24">
        <f t="shared" si="0"/>
        <v>6320</v>
      </c>
      <c r="V12" s="24">
        <f t="shared" si="0"/>
        <v>106330</v>
      </c>
      <c r="W12" s="24">
        <f t="shared" si="0"/>
        <v>2242</v>
      </c>
      <c r="X12" s="24">
        <f t="shared" si="0"/>
        <v>195582</v>
      </c>
      <c r="Y12" s="24">
        <f t="shared" si="0"/>
        <v>4264</v>
      </c>
      <c r="Z12" s="91">
        <f t="shared" si="0"/>
        <v>-184</v>
      </c>
      <c r="AA12" s="91">
        <f t="shared" si="0"/>
        <v>-5114.5600000000004</v>
      </c>
      <c r="AB12" s="91">
        <f t="shared" si="0"/>
        <v>-353</v>
      </c>
      <c r="AC12" s="91">
        <f t="shared" si="0"/>
        <v>-7503.21</v>
      </c>
      <c r="AD12" s="24">
        <f t="shared" si="0"/>
        <v>9151</v>
      </c>
      <c r="AE12" s="24">
        <f t="shared" si="0"/>
        <v>628.96999999999969</v>
      </c>
      <c r="AF12" s="24">
        <f t="shared" si="0"/>
        <v>18543</v>
      </c>
      <c r="AG12" s="24">
        <f t="shared" si="0"/>
        <v>1073.159999999998</v>
      </c>
      <c r="AH12" s="24">
        <f t="shared" si="0"/>
        <v>82516</v>
      </c>
      <c r="AI12" s="24">
        <f t="shared" si="0"/>
        <v>6199.4400000000151</v>
      </c>
      <c r="AJ12" s="24">
        <f t="shared" si="0"/>
        <v>175147</v>
      </c>
      <c r="AK12" s="24">
        <f t="shared" si="0"/>
        <v>12522.75</v>
      </c>
      <c r="AL12" s="24">
        <f t="shared" si="0"/>
        <v>469012</v>
      </c>
      <c r="AM12" s="24">
        <f t="shared" si="0"/>
        <v>15402</v>
      </c>
      <c r="AN12" s="24">
        <f t="shared" si="0"/>
        <v>890877</v>
      </c>
      <c r="AO12" s="24">
        <f t="shared" si="0"/>
        <v>28913</v>
      </c>
      <c r="AP12" s="24">
        <f t="shared" si="0"/>
        <v>356123</v>
      </c>
      <c r="AQ12" s="24">
        <f t="shared" si="0"/>
        <v>19061</v>
      </c>
      <c r="AR12" s="24">
        <f t="shared" si="0"/>
        <v>640832</v>
      </c>
      <c r="AS12" s="24">
        <f t="shared" si="0"/>
        <v>32979</v>
      </c>
      <c r="AT12" s="24">
        <f t="shared" si="0"/>
        <v>1894386</v>
      </c>
      <c r="AU12" s="24">
        <f t="shared" si="0"/>
        <v>35972</v>
      </c>
      <c r="AV12" s="24">
        <f t="shared" si="0"/>
        <v>3401147</v>
      </c>
      <c r="AW12" s="24">
        <f t="shared" si="0"/>
        <v>67796</v>
      </c>
      <c r="AX12" s="24">
        <f t="shared" si="0"/>
        <v>821285</v>
      </c>
      <c r="AY12" s="24">
        <f t="shared" si="0"/>
        <v>19721.050000000017</v>
      </c>
      <c r="AZ12" s="24">
        <f t="shared" si="0"/>
        <v>1452979</v>
      </c>
      <c r="BA12" s="24">
        <f t="shared" si="0"/>
        <v>34047.720000000016</v>
      </c>
      <c r="BB12" s="24">
        <f t="shared" si="0"/>
        <v>72897</v>
      </c>
      <c r="BC12" s="24">
        <f t="shared" si="0"/>
        <v>1101.630000000001</v>
      </c>
      <c r="BD12" s="24">
        <f t="shared" si="0"/>
        <v>106318</v>
      </c>
      <c r="BE12" s="24">
        <f t="shared" si="0"/>
        <v>1967.9000000000015</v>
      </c>
      <c r="BF12" s="24">
        <f t="shared" si="0"/>
        <v>167992</v>
      </c>
      <c r="BG12" s="24">
        <f t="shared" si="0"/>
        <v>4905.2799999999943</v>
      </c>
      <c r="BH12" s="24">
        <f t="shared" si="0"/>
        <v>301292</v>
      </c>
      <c r="BI12" s="24">
        <f t="shared" si="0"/>
        <v>8578.739999999998</v>
      </c>
      <c r="BJ12" s="24">
        <f t="shared" si="0"/>
        <v>110961</v>
      </c>
      <c r="BK12" s="24">
        <f t="shared" si="0"/>
        <v>10040</v>
      </c>
      <c r="BL12" s="24">
        <f t="shared" si="0"/>
        <v>215685</v>
      </c>
      <c r="BM12" s="24">
        <f t="shared" si="0"/>
        <v>18606</v>
      </c>
      <c r="BN12" s="24">
        <f t="shared" si="0"/>
        <v>805</v>
      </c>
      <c r="BO12" s="24">
        <f t="shared" ref="BO12:CW12" si="1">BO13-BO11-BO10-BO9-BO8-BO7-BO6</f>
        <v>184</v>
      </c>
      <c r="BP12" s="24">
        <f t="shared" si="1"/>
        <v>1717</v>
      </c>
      <c r="BQ12" s="24">
        <f t="shared" si="1"/>
        <v>394</v>
      </c>
      <c r="BR12" s="24">
        <f t="shared" si="1"/>
        <v>6689</v>
      </c>
      <c r="BS12" s="24">
        <f t="shared" si="1"/>
        <v>950</v>
      </c>
      <c r="BT12" s="24">
        <f t="shared" si="1"/>
        <v>6895</v>
      </c>
      <c r="BU12" s="24">
        <f t="shared" si="1"/>
        <v>1529</v>
      </c>
      <c r="BV12" s="24">
        <f t="shared" si="1"/>
        <v>9479</v>
      </c>
      <c r="BW12" s="24">
        <f t="shared" si="1"/>
        <v>5398.0799999999581</v>
      </c>
      <c r="BX12" s="24">
        <f t="shared" si="1"/>
        <v>18264</v>
      </c>
      <c r="BY12" s="24">
        <f t="shared" si="1"/>
        <v>9549.539999999979</v>
      </c>
      <c r="BZ12" s="24">
        <f t="shared" si="1"/>
        <v>-2</v>
      </c>
      <c r="CA12" s="24">
        <f t="shared" si="1"/>
        <v>281</v>
      </c>
      <c r="CB12" s="24">
        <f t="shared" si="1"/>
        <v>932</v>
      </c>
      <c r="CC12" s="24">
        <f t="shared" si="1"/>
        <v>409</v>
      </c>
      <c r="CD12" s="24">
        <f t="shared" si="1"/>
        <v>2605</v>
      </c>
      <c r="CE12" s="24">
        <f t="shared" si="1"/>
        <v>309.87000000000091</v>
      </c>
      <c r="CF12" s="24">
        <f t="shared" si="1"/>
        <v>5088</v>
      </c>
      <c r="CG12" s="24">
        <f t="shared" si="1"/>
        <v>596.12999999999897</v>
      </c>
      <c r="CH12" s="24">
        <f t="shared" si="1"/>
        <v>294608</v>
      </c>
      <c r="CI12" s="24">
        <f t="shared" si="1"/>
        <v>14948</v>
      </c>
      <c r="CJ12" s="24">
        <f t="shared" si="1"/>
        <v>342674</v>
      </c>
      <c r="CK12" s="24">
        <f t="shared" si="1"/>
        <v>16654</v>
      </c>
      <c r="CL12" s="24">
        <f>CL13-CL11-CL10-CL9-CL8-CL7-CL6</f>
        <v>228341</v>
      </c>
      <c r="CM12" s="24">
        <f t="shared" si="1"/>
        <v>17299</v>
      </c>
      <c r="CN12" s="24">
        <f t="shared" si="1"/>
        <v>403927</v>
      </c>
      <c r="CO12" s="24">
        <f t="shared" si="1"/>
        <v>30362</v>
      </c>
      <c r="CP12" s="24">
        <f t="shared" si="1"/>
        <v>56692</v>
      </c>
      <c r="CQ12" s="24">
        <f t="shared" si="1"/>
        <v>675</v>
      </c>
      <c r="CR12" s="24">
        <f t="shared" si="1"/>
        <v>151527</v>
      </c>
      <c r="CS12" s="24">
        <f t="shared" si="1"/>
        <v>6998</v>
      </c>
      <c r="CT12" s="24">
        <f t="shared" si="1"/>
        <v>559000</v>
      </c>
      <c r="CU12" s="24">
        <f t="shared" si="1"/>
        <v>20411.289999999994</v>
      </c>
      <c r="CV12" s="24">
        <f t="shared" si="1"/>
        <v>1026626</v>
      </c>
      <c r="CW12" s="24">
        <f t="shared" si="1"/>
        <v>36160.120000000003</v>
      </c>
      <c r="CX12" s="24">
        <f t="shared" ref="CX12:DR12" si="2">CX13-CX11-CX10-CX9-CX8-CX7-CX6</f>
        <v>3972</v>
      </c>
      <c r="CY12" s="24">
        <f t="shared" si="2"/>
        <v>585</v>
      </c>
      <c r="CZ12" s="24">
        <f t="shared" si="2"/>
        <v>7895</v>
      </c>
      <c r="DA12" s="24">
        <f t="shared" si="2"/>
        <v>1190</v>
      </c>
      <c r="DB12" s="24">
        <f t="shared" si="2"/>
        <v>280949</v>
      </c>
      <c r="DC12" s="24">
        <f t="shared" si="2"/>
        <v>28326</v>
      </c>
      <c r="DD12" s="24">
        <f t="shared" si="2"/>
        <v>544303</v>
      </c>
      <c r="DE12" s="24">
        <f t="shared" si="2"/>
        <v>50933</v>
      </c>
      <c r="DF12" s="24">
        <f t="shared" si="2"/>
        <v>1863674</v>
      </c>
      <c r="DG12" s="24">
        <f t="shared" si="2"/>
        <v>62544.639599999995</v>
      </c>
      <c r="DH12" s="24">
        <f t="shared" si="2"/>
        <v>3315044</v>
      </c>
      <c r="DI12" s="24">
        <f t="shared" si="2"/>
        <v>111995.13299999968</v>
      </c>
      <c r="DJ12" s="24">
        <f t="shared" si="2"/>
        <v>413940</v>
      </c>
      <c r="DK12" s="24">
        <f t="shared" si="2"/>
        <v>31681.310000000012</v>
      </c>
      <c r="DL12" s="24">
        <f t="shared" si="2"/>
        <v>596095</v>
      </c>
      <c r="DM12" s="24">
        <f t="shared" si="2"/>
        <v>44384.149999999936</v>
      </c>
      <c r="DN12" s="24">
        <f t="shared" si="2"/>
        <v>172396</v>
      </c>
      <c r="DO12" s="24">
        <f t="shared" si="2"/>
        <v>43337.260000000009</v>
      </c>
      <c r="DP12" s="24">
        <f t="shared" si="2"/>
        <v>340653</v>
      </c>
      <c r="DQ12" s="24">
        <f t="shared" si="2"/>
        <v>72581.789999999979</v>
      </c>
      <c r="DR12" s="24">
        <f t="shared" si="2"/>
        <v>103308</v>
      </c>
      <c r="DS12" s="24">
        <f t="shared" ref="DS12:DU12" si="3">DS13-DS11-DS10-DS9-DS8-DS7-DS6</f>
        <v>10176</v>
      </c>
      <c r="DT12" s="24">
        <f t="shared" si="3"/>
        <v>177573</v>
      </c>
      <c r="DU12" s="24">
        <f t="shared" si="3"/>
        <v>16734</v>
      </c>
    </row>
    <row r="13" spans="1:125" s="4" customFormat="1" x14ac:dyDescent="0.25">
      <c r="A13" s="26" t="s">
        <v>118</v>
      </c>
      <c r="B13" s="26">
        <v>606953</v>
      </c>
      <c r="C13" s="26">
        <v>38787</v>
      </c>
      <c r="D13" s="26">
        <v>1081307</v>
      </c>
      <c r="E13" s="26">
        <v>70608</v>
      </c>
      <c r="F13" s="26">
        <v>167218</v>
      </c>
      <c r="G13" s="26">
        <v>64022</v>
      </c>
      <c r="H13" s="26">
        <v>309417</v>
      </c>
      <c r="I13" s="26">
        <v>127061</v>
      </c>
      <c r="J13" s="26">
        <v>33411913</v>
      </c>
      <c r="K13" s="26">
        <v>878554.83</v>
      </c>
      <c r="L13" s="26">
        <v>33906846</v>
      </c>
      <c r="M13" s="26">
        <v>890492.5</v>
      </c>
      <c r="N13" s="26">
        <v>6805867</v>
      </c>
      <c r="O13" s="26">
        <v>473107</v>
      </c>
      <c r="P13" s="26">
        <v>11725609</v>
      </c>
      <c r="Q13" s="26">
        <v>783123</v>
      </c>
      <c r="R13" s="26">
        <v>493868</v>
      </c>
      <c r="S13" s="26">
        <v>129896</v>
      </c>
      <c r="T13" s="26">
        <v>924807</v>
      </c>
      <c r="U13" s="26">
        <v>239529</v>
      </c>
      <c r="V13" s="26">
        <v>2882295</v>
      </c>
      <c r="W13" s="26">
        <v>147378</v>
      </c>
      <c r="X13" s="26">
        <v>5203833</v>
      </c>
      <c r="Y13" s="26">
        <v>276408</v>
      </c>
      <c r="Z13" s="92">
        <v>859</v>
      </c>
      <c r="AA13" s="92">
        <v>8747</v>
      </c>
      <c r="AB13" s="92">
        <v>1657</v>
      </c>
      <c r="AC13" s="92">
        <v>17597.060000000001</v>
      </c>
      <c r="AD13" s="26">
        <v>104065</v>
      </c>
      <c r="AE13" s="26">
        <v>15830.05</v>
      </c>
      <c r="AF13" s="26">
        <v>182646</v>
      </c>
      <c r="AG13" s="26">
        <v>26893.279999999999</v>
      </c>
      <c r="AH13" s="26">
        <v>803499</v>
      </c>
      <c r="AI13" s="26">
        <v>105494.96</v>
      </c>
      <c r="AJ13" s="26">
        <v>1688075</v>
      </c>
      <c r="AK13" s="26">
        <v>192094.88</v>
      </c>
      <c r="AL13" s="26">
        <v>2586675</v>
      </c>
      <c r="AM13" s="26">
        <v>143681</v>
      </c>
      <c r="AN13" s="26">
        <v>4682900</v>
      </c>
      <c r="AO13" s="26">
        <v>296611</v>
      </c>
      <c r="AP13" s="26">
        <v>2324487</v>
      </c>
      <c r="AQ13" s="26">
        <v>492870</v>
      </c>
      <c r="AR13" s="26">
        <v>4230890</v>
      </c>
      <c r="AS13" s="26">
        <v>800205</v>
      </c>
      <c r="AT13" s="26">
        <v>6593714</v>
      </c>
      <c r="AU13" s="26">
        <v>518479</v>
      </c>
      <c r="AV13" s="26">
        <v>12779355</v>
      </c>
      <c r="AW13" s="26">
        <v>1055510</v>
      </c>
      <c r="AX13" s="26">
        <v>2362943</v>
      </c>
      <c r="AY13" s="26">
        <v>241836.09</v>
      </c>
      <c r="AZ13" s="26">
        <v>4249326</v>
      </c>
      <c r="BA13" s="26">
        <v>454771.09</v>
      </c>
      <c r="BB13" s="26">
        <v>1066137</v>
      </c>
      <c r="BC13" s="26">
        <v>28244.63</v>
      </c>
      <c r="BD13" s="26">
        <v>1948060</v>
      </c>
      <c r="BE13" s="26">
        <v>50000.9</v>
      </c>
      <c r="BF13" s="26">
        <v>800308</v>
      </c>
      <c r="BG13" s="26">
        <v>45236.46</v>
      </c>
      <c r="BH13" s="26">
        <v>1463732</v>
      </c>
      <c r="BI13" s="26">
        <v>90876.59</v>
      </c>
      <c r="BJ13" s="26">
        <v>591017</v>
      </c>
      <c r="BK13" s="26">
        <v>59157</v>
      </c>
      <c r="BL13" s="26">
        <v>1113559</v>
      </c>
      <c r="BM13" s="26">
        <v>113207</v>
      </c>
      <c r="BN13" s="26">
        <v>88699</v>
      </c>
      <c r="BO13" s="26">
        <v>30866</v>
      </c>
      <c r="BP13" s="26">
        <v>164587</v>
      </c>
      <c r="BQ13" s="26">
        <v>59514</v>
      </c>
      <c r="BR13" s="26">
        <v>756795</v>
      </c>
      <c r="BS13" s="26">
        <v>96132</v>
      </c>
      <c r="BT13" s="26">
        <v>762529</v>
      </c>
      <c r="BU13" s="26">
        <v>174576</v>
      </c>
      <c r="BV13" s="26">
        <v>3364561</v>
      </c>
      <c r="BW13" s="26">
        <v>464775.93</v>
      </c>
      <c r="BX13" s="26">
        <v>6333092</v>
      </c>
      <c r="BY13" s="26">
        <v>789901.48</v>
      </c>
      <c r="BZ13" s="26">
        <v>13456</v>
      </c>
      <c r="CA13" s="26">
        <v>1588</v>
      </c>
      <c r="CB13" s="26">
        <v>113981</v>
      </c>
      <c r="CC13" s="26">
        <v>3730</v>
      </c>
      <c r="CD13" s="26">
        <v>57972</v>
      </c>
      <c r="CE13" s="26">
        <v>13611.69</v>
      </c>
      <c r="CF13" s="26">
        <v>105287</v>
      </c>
      <c r="CG13" s="26">
        <v>24780.75</v>
      </c>
      <c r="CH13" s="26">
        <v>1851669</v>
      </c>
      <c r="CI13" s="26">
        <v>318415</v>
      </c>
      <c r="CJ13" s="26">
        <v>1736111</v>
      </c>
      <c r="CK13" s="26">
        <v>301806</v>
      </c>
      <c r="CL13" s="26">
        <v>743286</v>
      </c>
      <c r="CM13" s="26">
        <v>82100</v>
      </c>
      <c r="CN13" s="26">
        <v>1298441</v>
      </c>
      <c r="CO13" s="26">
        <v>155040</v>
      </c>
      <c r="CP13" s="26">
        <v>6455667</v>
      </c>
      <c r="CQ13" s="26">
        <v>323673</v>
      </c>
      <c r="CR13" s="26">
        <v>7877745</v>
      </c>
      <c r="CS13" s="26">
        <v>498711</v>
      </c>
      <c r="CT13" s="26">
        <v>1207399</v>
      </c>
      <c r="CU13" s="26">
        <v>58985.78</v>
      </c>
      <c r="CV13" s="26">
        <v>2092348</v>
      </c>
      <c r="CW13" s="26">
        <v>99132.57</v>
      </c>
      <c r="CX13" s="26">
        <v>2072183</v>
      </c>
      <c r="CY13" s="26">
        <v>319290</v>
      </c>
      <c r="CZ13" s="26">
        <v>3693888</v>
      </c>
      <c r="DA13" s="26">
        <v>565656</v>
      </c>
      <c r="DB13" s="26">
        <v>2782823</v>
      </c>
      <c r="DC13" s="26">
        <v>303769</v>
      </c>
      <c r="DD13" s="26">
        <v>5308745</v>
      </c>
      <c r="DE13" s="26">
        <v>595302</v>
      </c>
      <c r="DF13" s="26">
        <v>7500001</v>
      </c>
      <c r="DG13" s="26">
        <v>784397.10959999997</v>
      </c>
      <c r="DH13" s="26">
        <v>13780453</v>
      </c>
      <c r="DI13" s="26">
        <v>1719786.3729999999</v>
      </c>
      <c r="DJ13" s="26">
        <v>1724051</v>
      </c>
      <c r="DK13" s="26">
        <v>436439.34</v>
      </c>
      <c r="DL13" s="26">
        <v>3228799</v>
      </c>
      <c r="DM13" s="26">
        <v>800396.35</v>
      </c>
      <c r="DN13" s="26">
        <v>3050653</v>
      </c>
      <c r="DO13" s="26">
        <v>447618.25</v>
      </c>
      <c r="DP13" s="26">
        <v>5699985</v>
      </c>
      <c r="DQ13" s="26">
        <v>878741.1</v>
      </c>
      <c r="DR13" s="26">
        <v>840150</v>
      </c>
      <c r="DS13" s="26">
        <v>125266</v>
      </c>
      <c r="DT13" s="26">
        <v>1599630</v>
      </c>
      <c r="DU13" s="26">
        <v>208086</v>
      </c>
    </row>
    <row r="14" spans="1:125" x14ac:dyDescent="0.25">
      <c r="A14" s="24" t="s">
        <v>119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92"/>
      <c r="AA14" s="92"/>
      <c r="AB14" s="92"/>
      <c r="AC14" s="92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</row>
    <row r="15" spans="1:125" s="4" customFormat="1" x14ac:dyDescent="0.25">
      <c r="A15" s="26" t="s">
        <v>120</v>
      </c>
      <c r="B15" s="26">
        <f>B13+B14</f>
        <v>606953</v>
      </c>
      <c r="C15" s="26">
        <f t="shared" ref="C15:BN15" si="4">C13+C14</f>
        <v>38787</v>
      </c>
      <c r="D15" s="26">
        <f t="shared" si="4"/>
        <v>1081307</v>
      </c>
      <c r="E15" s="26">
        <f t="shared" si="4"/>
        <v>70608</v>
      </c>
      <c r="F15" s="26">
        <f t="shared" si="4"/>
        <v>167218</v>
      </c>
      <c r="G15" s="26">
        <f t="shared" si="4"/>
        <v>64022</v>
      </c>
      <c r="H15" s="26">
        <f t="shared" si="4"/>
        <v>309417</v>
      </c>
      <c r="I15" s="26">
        <f t="shared" si="4"/>
        <v>127061</v>
      </c>
      <c r="J15" s="26">
        <f t="shared" si="4"/>
        <v>33411913</v>
      </c>
      <c r="K15" s="26">
        <f t="shared" si="4"/>
        <v>878554.83</v>
      </c>
      <c r="L15" s="26">
        <f t="shared" si="4"/>
        <v>33906846</v>
      </c>
      <c r="M15" s="26">
        <f t="shared" si="4"/>
        <v>890492.5</v>
      </c>
      <c r="N15" s="26">
        <f t="shared" si="4"/>
        <v>6805867</v>
      </c>
      <c r="O15" s="26">
        <f t="shared" si="4"/>
        <v>473107</v>
      </c>
      <c r="P15" s="26">
        <f t="shared" si="4"/>
        <v>11725609</v>
      </c>
      <c r="Q15" s="26">
        <f t="shared" si="4"/>
        <v>783123</v>
      </c>
      <c r="R15" s="26">
        <f t="shared" si="4"/>
        <v>493868</v>
      </c>
      <c r="S15" s="26">
        <f t="shared" si="4"/>
        <v>129896</v>
      </c>
      <c r="T15" s="26">
        <f t="shared" si="4"/>
        <v>924807</v>
      </c>
      <c r="U15" s="26">
        <f t="shared" si="4"/>
        <v>239529</v>
      </c>
      <c r="V15" s="26">
        <f t="shared" si="4"/>
        <v>2882295</v>
      </c>
      <c r="W15" s="26">
        <f t="shared" si="4"/>
        <v>147378</v>
      </c>
      <c r="X15" s="26">
        <f t="shared" si="4"/>
        <v>5203833</v>
      </c>
      <c r="Y15" s="26">
        <f t="shared" si="4"/>
        <v>276408</v>
      </c>
      <c r="Z15" s="92">
        <f t="shared" si="4"/>
        <v>859</v>
      </c>
      <c r="AA15" s="92">
        <f t="shared" si="4"/>
        <v>8747</v>
      </c>
      <c r="AB15" s="92">
        <f t="shared" si="4"/>
        <v>1657</v>
      </c>
      <c r="AC15" s="92">
        <f t="shared" si="4"/>
        <v>17597.060000000001</v>
      </c>
      <c r="AD15" s="26">
        <f t="shared" si="4"/>
        <v>104065</v>
      </c>
      <c r="AE15" s="26">
        <f t="shared" si="4"/>
        <v>15830.05</v>
      </c>
      <c r="AF15" s="26">
        <f t="shared" si="4"/>
        <v>182646</v>
      </c>
      <c r="AG15" s="26">
        <f t="shared" si="4"/>
        <v>26893.279999999999</v>
      </c>
      <c r="AH15" s="26">
        <f t="shared" si="4"/>
        <v>803499</v>
      </c>
      <c r="AI15" s="26">
        <f t="shared" si="4"/>
        <v>105494.96</v>
      </c>
      <c r="AJ15" s="26">
        <f t="shared" si="4"/>
        <v>1688075</v>
      </c>
      <c r="AK15" s="26">
        <f t="shared" si="4"/>
        <v>192094.88</v>
      </c>
      <c r="AL15" s="26">
        <f t="shared" si="4"/>
        <v>2586675</v>
      </c>
      <c r="AM15" s="26">
        <f t="shared" si="4"/>
        <v>143681</v>
      </c>
      <c r="AN15" s="26">
        <f t="shared" si="4"/>
        <v>4682900</v>
      </c>
      <c r="AO15" s="26">
        <f t="shared" si="4"/>
        <v>296611</v>
      </c>
      <c r="AP15" s="26">
        <f t="shared" si="4"/>
        <v>2324487</v>
      </c>
      <c r="AQ15" s="26">
        <f t="shared" si="4"/>
        <v>492870</v>
      </c>
      <c r="AR15" s="26">
        <f t="shared" si="4"/>
        <v>4230890</v>
      </c>
      <c r="AS15" s="26">
        <f t="shared" si="4"/>
        <v>800205</v>
      </c>
      <c r="AT15" s="26">
        <f t="shared" si="4"/>
        <v>6593714</v>
      </c>
      <c r="AU15" s="26">
        <f t="shared" si="4"/>
        <v>518479</v>
      </c>
      <c r="AV15" s="26">
        <f t="shared" si="4"/>
        <v>12779355</v>
      </c>
      <c r="AW15" s="26">
        <f t="shared" si="4"/>
        <v>1055510</v>
      </c>
      <c r="AX15" s="26">
        <f t="shared" si="4"/>
        <v>2362943</v>
      </c>
      <c r="AY15" s="26">
        <f t="shared" si="4"/>
        <v>241836.09</v>
      </c>
      <c r="AZ15" s="26">
        <f t="shared" si="4"/>
        <v>4249326</v>
      </c>
      <c r="BA15" s="26">
        <f t="shared" si="4"/>
        <v>454771.09</v>
      </c>
      <c r="BB15" s="26">
        <f t="shared" si="4"/>
        <v>1066137</v>
      </c>
      <c r="BC15" s="26">
        <f t="shared" si="4"/>
        <v>28244.63</v>
      </c>
      <c r="BD15" s="26">
        <f t="shared" si="4"/>
        <v>1948060</v>
      </c>
      <c r="BE15" s="26">
        <f t="shared" si="4"/>
        <v>50000.9</v>
      </c>
      <c r="BF15" s="26">
        <f t="shared" si="4"/>
        <v>800308</v>
      </c>
      <c r="BG15" s="26">
        <f t="shared" si="4"/>
        <v>45236.46</v>
      </c>
      <c r="BH15" s="26">
        <f t="shared" si="4"/>
        <v>1463732</v>
      </c>
      <c r="BI15" s="26">
        <f t="shared" si="4"/>
        <v>90876.59</v>
      </c>
      <c r="BJ15" s="26">
        <f t="shared" si="4"/>
        <v>591017</v>
      </c>
      <c r="BK15" s="26">
        <f t="shared" si="4"/>
        <v>59157</v>
      </c>
      <c r="BL15" s="26">
        <f t="shared" si="4"/>
        <v>1113559</v>
      </c>
      <c r="BM15" s="26">
        <f t="shared" si="4"/>
        <v>113207</v>
      </c>
      <c r="BN15" s="26">
        <f t="shared" si="4"/>
        <v>88699</v>
      </c>
      <c r="BO15" s="26">
        <f t="shared" ref="BO15:CW15" si="5">BO13+BO14</f>
        <v>30866</v>
      </c>
      <c r="BP15" s="26">
        <f t="shared" si="5"/>
        <v>164587</v>
      </c>
      <c r="BQ15" s="26">
        <f t="shared" si="5"/>
        <v>59514</v>
      </c>
      <c r="BR15" s="26">
        <f t="shared" si="5"/>
        <v>756795</v>
      </c>
      <c r="BS15" s="26">
        <f t="shared" si="5"/>
        <v>96132</v>
      </c>
      <c r="BT15" s="26">
        <f t="shared" si="5"/>
        <v>762529</v>
      </c>
      <c r="BU15" s="26">
        <f t="shared" si="5"/>
        <v>174576</v>
      </c>
      <c r="BV15" s="26">
        <f t="shared" si="5"/>
        <v>3364561</v>
      </c>
      <c r="BW15" s="26">
        <f t="shared" si="5"/>
        <v>464775.93</v>
      </c>
      <c r="BX15" s="26">
        <f t="shared" si="5"/>
        <v>6333092</v>
      </c>
      <c r="BY15" s="26">
        <f t="shared" si="5"/>
        <v>789901.48</v>
      </c>
      <c r="BZ15" s="26">
        <f t="shared" si="5"/>
        <v>13456</v>
      </c>
      <c r="CA15" s="26">
        <f t="shared" si="5"/>
        <v>1588</v>
      </c>
      <c r="CB15" s="26">
        <f t="shared" si="5"/>
        <v>113981</v>
      </c>
      <c r="CC15" s="26">
        <f t="shared" si="5"/>
        <v>3730</v>
      </c>
      <c r="CD15" s="26">
        <f t="shared" si="5"/>
        <v>57972</v>
      </c>
      <c r="CE15" s="26">
        <f t="shared" si="5"/>
        <v>13611.69</v>
      </c>
      <c r="CF15" s="26">
        <f t="shared" si="5"/>
        <v>105287</v>
      </c>
      <c r="CG15" s="26">
        <f t="shared" si="5"/>
        <v>24780.75</v>
      </c>
      <c r="CH15" s="26">
        <f t="shared" si="5"/>
        <v>1851669</v>
      </c>
      <c r="CI15" s="26">
        <f t="shared" si="5"/>
        <v>318415</v>
      </c>
      <c r="CJ15" s="26">
        <f t="shared" si="5"/>
        <v>1736111</v>
      </c>
      <c r="CK15" s="26">
        <f t="shared" si="5"/>
        <v>301806</v>
      </c>
      <c r="CL15" s="26">
        <f>CL13+CL14</f>
        <v>743286</v>
      </c>
      <c r="CM15" s="26">
        <f t="shared" si="5"/>
        <v>82100</v>
      </c>
      <c r="CN15" s="26">
        <f t="shared" si="5"/>
        <v>1298441</v>
      </c>
      <c r="CO15" s="26">
        <f t="shared" si="5"/>
        <v>155040</v>
      </c>
      <c r="CP15" s="26">
        <f t="shared" si="5"/>
        <v>6455667</v>
      </c>
      <c r="CQ15" s="26">
        <f t="shared" si="5"/>
        <v>323673</v>
      </c>
      <c r="CR15" s="26">
        <f t="shared" si="5"/>
        <v>7877745</v>
      </c>
      <c r="CS15" s="26">
        <f t="shared" si="5"/>
        <v>498711</v>
      </c>
      <c r="CT15" s="26">
        <f t="shared" si="5"/>
        <v>1207399</v>
      </c>
      <c r="CU15" s="26">
        <f t="shared" si="5"/>
        <v>58985.78</v>
      </c>
      <c r="CV15" s="26">
        <f t="shared" si="5"/>
        <v>2092348</v>
      </c>
      <c r="CW15" s="26">
        <f t="shared" si="5"/>
        <v>99132.57</v>
      </c>
      <c r="CX15" s="26">
        <f t="shared" ref="CX15:DR15" si="6">CX13+CX14</f>
        <v>2072183</v>
      </c>
      <c r="CY15" s="26">
        <f t="shared" si="6"/>
        <v>319290</v>
      </c>
      <c r="CZ15" s="26">
        <f t="shared" si="6"/>
        <v>3693888</v>
      </c>
      <c r="DA15" s="26">
        <f t="shared" si="6"/>
        <v>565656</v>
      </c>
      <c r="DB15" s="26">
        <f t="shared" si="6"/>
        <v>2782823</v>
      </c>
      <c r="DC15" s="26">
        <f t="shared" si="6"/>
        <v>303769</v>
      </c>
      <c r="DD15" s="26">
        <f t="shared" si="6"/>
        <v>5308745</v>
      </c>
      <c r="DE15" s="26">
        <f t="shared" si="6"/>
        <v>595302</v>
      </c>
      <c r="DF15" s="26">
        <f t="shared" si="6"/>
        <v>7500001</v>
      </c>
      <c r="DG15" s="26">
        <f t="shared" si="6"/>
        <v>784397.10959999997</v>
      </c>
      <c r="DH15" s="26">
        <f t="shared" si="6"/>
        <v>13780453</v>
      </c>
      <c r="DI15" s="26">
        <f t="shared" si="6"/>
        <v>1719786.3729999999</v>
      </c>
      <c r="DJ15" s="26">
        <f t="shared" si="6"/>
        <v>1724051</v>
      </c>
      <c r="DK15" s="26">
        <f t="shared" si="6"/>
        <v>436439.34</v>
      </c>
      <c r="DL15" s="26">
        <f t="shared" si="6"/>
        <v>3228799</v>
      </c>
      <c r="DM15" s="26">
        <f t="shared" si="6"/>
        <v>800396.35</v>
      </c>
      <c r="DN15" s="26">
        <f t="shared" si="6"/>
        <v>3050653</v>
      </c>
      <c r="DO15" s="26">
        <f t="shared" si="6"/>
        <v>447618.25</v>
      </c>
      <c r="DP15" s="26">
        <f t="shared" si="6"/>
        <v>5699985</v>
      </c>
      <c r="DQ15" s="26">
        <f t="shared" si="6"/>
        <v>878741.1</v>
      </c>
      <c r="DR15" s="26">
        <f t="shared" si="6"/>
        <v>840150</v>
      </c>
      <c r="DS15" s="26">
        <f t="shared" ref="DS15:DU15" si="7">DS13+DS14</f>
        <v>125266</v>
      </c>
      <c r="DT15" s="26">
        <f t="shared" si="7"/>
        <v>1599630</v>
      </c>
      <c r="DU15" s="26">
        <f t="shared" si="7"/>
        <v>208086</v>
      </c>
    </row>
  </sheetData>
  <mergeCells count="93">
    <mergeCell ref="BZ4:CA4"/>
    <mergeCell ref="CB4:CC4"/>
    <mergeCell ref="CD4:CE4"/>
    <mergeCell ref="CF4:CG4"/>
    <mergeCell ref="CH4:CI4"/>
    <mergeCell ref="CJ4:CK4"/>
    <mergeCell ref="CP4:CQ4"/>
    <mergeCell ref="CR4:CS4"/>
    <mergeCell ref="CT4:CU4"/>
    <mergeCell ref="CV4:CW4"/>
    <mergeCell ref="BV4:BW4"/>
    <mergeCell ref="BX4:BY4"/>
    <mergeCell ref="BF4:BG4"/>
    <mergeCell ref="BH4:BI4"/>
    <mergeCell ref="BJ4:BK4"/>
    <mergeCell ref="BL4:BM4"/>
    <mergeCell ref="BN4:BO4"/>
    <mergeCell ref="BR4:BS4"/>
    <mergeCell ref="BT4:BU4"/>
    <mergeCell ref="N4:O4"/>
    <mergeCell ref="P4:Q4"/>
    <mergeCell ref="B4:C4"/>
    <mergeCell ref="D4:E4"/>
    <mergeCell ref="F4:G4"/>
    <mergeCell ref="H4:I4"/>
    <mergeCell ref="J4:K4"/>
    <mergeCell ref="DB4:DC4"/>
    <mergeCell ref="DR3:DU3"/>
    <mergeCell ref="DT4:DU4"/>
    <mergeCell ref="DR4:DS4"/>
    <mergeCell ref="DL4:DM4"/>
    <mergeCell ref="DN4:DO4"/>
    <mergeCell ref="DP4:DQ4"/>
    <mergeCell ref="DD4:DE4"/>
    <mergeCell ref="DF3:DI3"/>
    <mergeCell ref="DJ3:DM3"/>
    <mergeCell ref="DN3:DQ3"/>
    <mergeCell ref="DJ4:DK4"/>
    <mergeCell ref="DF4:DG4"/>
    <mergeCell ref="DH4:DI4"/>
    <mergeCell ref="DB3:DE3"/>
    <mergeCell ref="B3:E3"/>
    <mergeCell ref="F3:I3"/>
    <mergeCell ref="J3:M3"/>
    <mergeCell ref="N3:Q3"/>
    <mergeCell ref="CZ4:DA4"/>
    <mergeCell ref="R4:S4"/>
    <mergeCell ref="AP4:AQ4"/>
    <mergeCell ref="AR4:AS4"/>
    <mergeCell ref="CL3:CO3"/>
    <mergeCell ref="CL4:CM4"/>
    <mergeCell ref="CN4:CO4"/>
    <mergeCell ref="CP3:CS3"/>
    <mergeCell ref="CT3:CW3"/>
    <mergeCell ref="CX3:DA3"/>
    <mergeCell ref="CX4:CY4"/>
    <mergeCell ref="L4:M4"/>
    <mergeCell ref="R3:U3"/>
    <mergeCell ref="T4:U4"/>
    <mergeCell ref="AL3:AO3"/>
    <mergeCell ref="AF4:AG4"/>
    <mergeCell ref="AH4:AI4"/>
    <mergeCell ref="AJ4:AK4"/>
    <mergeCell ref="AL4:AM4"/>
    <mergeCell ref="AN4:AO4"/>
    <mergeCell ref="V4:W4"/>
    <mergeCell ref="X4:Y4"/>
    <mergeCell ref="Z4:AA4"/>
    <mergeCell ref="V3:Y3"/>
    <mergeCell ref="AB4:AC4"/>
    <mergeCell ref="AD4:AE4"/>
    <mergeCell ref="Z3:AC3"/>
    <mergeCell ref="AD3:AG3"/>
    <mergeCell ref="BV3:BY3"/>
    <mergeCell ref="BZ3:CC3"/>
    <mergeCell ref="CD3:CG3"/>
    <mergeCell ref="CH3:CK3"/>
    <mergeCell ref="BR3:BU3"/>
    <mergeCell ref="AH3:AK3"/>
    <mergeCell ref="AP3:AS3"/>
    <mergeCell ref="AT3:AW3"/>
    <mergeCell ref="AX3:BA3"/>
    <mergeCell ref="BB3:BE3"/>
    <mergeCell ref="BF3:BI3"/>
    <mergeCell ref="BJ3:BM3"/>
    <mergeCell ref="BN3:BQ3"/>
    <mergeCell ref="AT4:AU4"/>
    <mergeCell ref="AV4:AW4"/>
    <mergeCell ref="AX4:AY4"/>
    <mergeCell ref="BP4:BQ4"/>
    <mergeCell ref="AZ4:BA4"/>
    <mergeCell ref="BB4:BC4"/>
    <mergeCell ref="BD4:B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3" customWidth="1"/>
    <col min="2" max="63" width="16" style="3" customWidth="1"/>
    <col min="64" max="65" width="16" style="9" customWidth="1"/>
    <col min="66" max="16384" width="9.140625" style="3"/>
  </cols>
  <sheetData>
    <row r="1" spans="1:65" ht="18.75" x14ac:dyDescent="0.3">
      <c r="A1" s="5" t="s">
        <v>231</v>
      </c>
    </row>
    <row r="2" spans="1:65" x14ac:dyDescent="0.25">
      <c r="A2" s="2" t="s">
        <v>98</v>
      </c>
    </row>
    <row r="3" spans="1:65" x14ac:dyDescent="0.25">
      <c r="A3" s="38" t="s">
        <v>0</v>
      </c>
      <c r="B3" s="94" t="s">
        <v>1</v>
      </c>
      <c r="C3" s="95"/>
      <c r="D3" s="94" t="s">
        <v>232</v>
      </c>
      <c r="E3" s="95"/>
      <c r="F3" s="94" t="s">
        <v>2</v>
      </c>
      <c r="G3" s="95"/>
      <c r="H3" s="94" t="s">
        <v>3</v>
      </c>
      <c r="I3" s="95"/>
      <c r="J3" s="94" t="s">
        <v>241</v>
      </c>
      <c r="K3" s="95"/>
      <c r="L3" s="94" t="s">
        <v>233</v>
      </c>
      <c r="M3" s="95"/>
      <c r="N3" s="94" t="s">
        <v>246</v>
      </c>
      <c r="O3" s="95"/>
      <c r="P3" s="94" t="s">
        <v>5</v>
      </c>
      <c r="Q3" s="95"/>
      <c r="R3" s="94" t="s">
        <v>4</v>
      </c>
      <c r="S3" s="95"/>
      <c r="T3" s="94" t="s">
        <v>6</v>
      </c>
      <c r="U3" s="95"/>
      <c r="V3" s="94" t="s">
        <v>7</v>
      </c>
      <c r="W3" s="95"/>
      <c r="X3" s="94" t="s">
        <v>8</v>
      </c>
      <c r="Y3" s="95"/>
      <c r="Z3" s="94" t="s">
        <v>9</v>
      </c>
      <c r="AA3" s="95"/>
      <c r="AB3" s="94" t="s">
        <v>240</v>
      </c>
      <c r="AC3" s="95"/>
      <c r="AD3" s="94" t="s">
        <v>10</v>
      </c>
      <c r="AE3" s="95"/>
      <c r="AF3" s="94" t="s">
        <v>11</v>
      </c>
      <c r="AG3" s="95"/>
      <c r="AH3" s="94" t="s">
        <v>234</v>
      </c>
      <c r="AI3" s="95"/>
      <c r="AJ3" s="94" t="s">
        <v>12</v>
      </c>
      <c r="AK3" s="95"/>
      <c r="AL3" s="94" t="s">
        <v>235</v>
      </c>
      <c r="AM3" s="95"/>
      <c r="AN3" s="94" t="s">
        <v>300</v>
      </c>
      <c r="AO3" s="95"/>
      <c r="AP3" s="94" t="s">
        <v>236</v>
      </c>
      <c r="AQ3" s="95"/>
      <c r="AR3" s="94" t="s">
        <v>239</v>
      </c>
      <c r="AS3" s="95"/>
      <c r="AT3" s="94" t="s">
        <v>13</v>
      </c>
      <c r="AU3" s="95"/>
      <c r="AV3" s="94" t="s">
        <v>14</v>
      </c>
      <c r="AW3" s="95"/>
      <c r="AX3" s="94" t="s">
        <v>15</v>
      </c>
      <c r="AY3" s="95"/>
      <c r="AZ3" s="94" t="s">
        <v>16</v>
      </c>
      <c r="BA3" s="95"/>
      <c r="BB3" s="94" t="s">
        <v>17</v>
      </c>
      <c r="BC3" s="95"/>
      <c r="BD3" s="94" t="s">
        <v>237</v>
      </c>
      <c r="BE3" s="95"/>
      <c r="BF3" s="94" t="s">
        <v>238</v>
      </c>
      <c r="BG3" s="95"/>
      <c r="BH3" s="94" t="s">
        <v>18</v>
      </c>
      <c r="BI3" s="95"/>
      <c r="BJ3" s="94" t="s">
        <v>19</v>
      </c>
      <c r="BK3" s="95"/>
      <c r="BL3" s="96" t="s">
        <v>20</v>
      </c>
      <c r="BM3" s="97"/>
    </row>
    <row r="4" spans="1:65" ht="30" x14ac:dyDescent="0.25">
      <c r="A4" s="38"/>
      <c r="B4" s="34" t="s">
        <v>298</v>
      </c>
      <c r="C4" s="35" t="s">
        <v>299</v>
      </c>
      <c r="D4" s="34" t="s">
        <v>298</v>
      </c>
      <c r="E4" s="35" t="s">
        <v>299</v>
      </c>
      <c r="F4" s="34" t="s">
        <v>298</v>
      </c>
      <c r="G4" s="35" t="s">
        <v>299</v>
      </c>
      <c r="H4" s="34" t="s">
        <v>298</v>
      </c>
      <c r="I4" s="35" t="s">
        <v>299</v>
      </c>
      <c r="J4" s="34" t="s">
        <v>298</v>
      </c>
      <c r="K4" s="35" t="s">
        <v>299</v>
      </c>
      <c r="L4" s="34" t="s">
        <v>298</v>
      </c>
      <c r="M4" s="35" t="s">
        <v>299</v>
      </c>
      <c r="N4" s="34" t="s">
        <v>298</v>
      </c>
      <c r="O4" s="35" t="s">
        <v>299</v>
      </c>
      <c r="P4" s="34" t="s">
        <v>298</v>
      </c>
      <c r="Q4" s="35" t="s">
        <v>299</v>
      </c>
      <c r="R4" s="34" t="s">
        <v>298</v>
      </c>
      <c r="S4" s="35" t="s">
        <v>299</v>
      </c>
      <c r="T4" s="34" t="s">
        <v>298</v>
      </c>
      <c r="U4" s="35" t="s">
        <v>299</v>
      </c>
      <c r="V4" s="34" t="s">
        <v>298</v>
      </c>
      <c r="W4" s="35" t="s">
        <v>299</v>
      </c>
      <c r="X4" s="34" t="s">
        <v>298</v>
      </c>
      <c r="Y4" s="35" t="s">
        <v>299</v>
      </c>
      <c r="Z4" s="34" t="s">
        <v>298</v>
      </c>
      <c r="AA4" s="35" t="s">
        <v>299</v>
      </c>
      <c r="AB4" s="34" t="s">
        <v>298</v>
      </c>
      <c r="AC4" s="35" t="s">
        <v>299</v>
      </c>
      <c r="AD4" s="34" t="s">
        <v>298</v>
      </c>
      <c r="AE4" s="35" t="s">
        <v>299</v>
      </c>
      <c r="AF4" s="34" t="s">
        <v>298</v>
      </c>
      <c r="AG4" s="35" t="s">
        <v>299</v>
      </c>
      <c r="AH4" s="34" t="s">
        <v>298</v>
      </c>
      <c r="AI4" s="35" t="s">
        <v>299</v>
      </c>
      <c r="AJ4" s="34" t="s">
        <v>298</v>
      </c>
      <c r="AK4" s="35" t="s">
        <v>299</v>
      </c>
      <c r="AL4" s="34" t="s">
        <v>298</v>
      </c>
      <c r="AM4" s="35" t="s">
        <v>299</v>
      </c>
      <c r="AN4" s="34" t="s">
        <v>298</v>
      </c>
      <c r="AO4" s="35" t="s">
        <v>299</v>
      </c>
      <c r="AP4" s="34" t="s">
        <v>298</v>
      </c>
      <c r="AQ4" s="35" t="s">
        <v>299</v>
      </c>
      <c r="AR4" s="34" t="s">
        <v>298</v>
      </c>
      <c r="AS4" s="35" t="s">
        <v>299</v>
      </c>
      <c r="AT4" s="34" t="s">
        <v>298</v>
      </c>
      <c r="AU4" s="35" t="s">
        <v>299</v>
      </c>
      <c r="AV4" s="34" t="s">
        <v>298</v>
      </c>
      <c r="AW4" s="35" t="s">
        <v>299</v>
      </c>
      <c r="AX4" s="34" t="s">
        <v>298</v>
      </c>
      <c r="AY4" s="35" t="s">
        <v>299</v>
      </c>
      <c r="AZ4" s="34" t="s">
        <v>298</v>
      </c>
      <c r="BA4" s="35" t="s">
        <v>299</v>
      </c>
      <c r="BB4" s="34" t="s">
        <v>298</v>
      </c>
      <c r="BC4" s="35" t="s">
        <v>299</v>
      </c>
      <c r="BD4" s="34" t="s">
        <v>298</v>
      </c>
      <c r="BE4" s="35" t="s">
        <v>299</v>
      </c>
      <c r="BF4" s="34" t="s">
        <v>298</v>
      </c>
      <c r="BG4" s="35" t="s">
        <v>299</v>
      </c>
      <c r="BH4" s="34" t="s">
        <v>298</v>
      </c>
      <c r="BI4" s="35" t="s">
        <v>299</v>
      </c>
      <c r="BJ4" s="34" t="s">
        <v>298</v>
      </c>
      <c r="BK4" s="35" t="s">
        <v>299</v>
      </c>
      <c r="BL4" s="34" t="s">
        <v>298</v>
      </c>
      <c r="BM4" s="35" t="s">
        <v>299</v>
      </c>
    </row>
    <row r="5" spans="1:65" x14ac:dyDescent="0.25">
      <c r="A5" s="38" t="s">
        <v>214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40"/>
      <c r="BM5" s="40"/>
    </row>
    <row r="6" spans="1:65" x14ac:dyDescent="0.25">
      <c r="A6" s="36" t="s">
        <v>215</v>
      </c>
      <c r="B6" s="24"/>
      <c r="C6" s="24"/>
      <c r="D6" s="24"/>
      <c r="E6" s="24"/>
      <c r="F6" s="24"/>
      <c r="G6" s="24"/>
      <c r="H6" s="24">
        <v>4241</v>
      </c>
      <c r="I6" s="24">
        <v>11399</v>
      </c>
      <c r="J6" s="24"/>
      <c r="K6" s="24"/>
      <c r="L6" s="24">
        <v>1551</v>
      </c>
      <c r="M6" s="24">
        <v>2691</v>
      </c>
      <c r="N6" s="24">
        <v>-6</v>
      </c>
      <c r="O6" s="24">
        <v>-2548</v>
      </c>
      <c r="P6" s="24"/>
      <c r="Q6" s="24"/>
      <c r="R6" s="24">
        <v>-13.38</v>
      </c>
      <c r="S6" s="24">
        <v>100.63</v>
      </c>
      <c r="T6" s="24">
        <v>613.75</v>
      </c>
      <c r="U6" s="24">
        <v>90.88</v>
      </c>
      <c r="V6" s="24">
        <v>4654</v>
      </c>
      <c r="W6" s="24">
        <v>2058</v>
      </c>
      <c r="X6" s="24">
        <v>13729</v>
      </c>
      <c r="Y6" s="24">
        <v>28744</v>
      </c>
      <c r="Z6" s="24">
        <v>2587</v>
      </c>
      <c r="AA6" s="24">
        <v>6692</v>
      </c>
      <c r="AB6" s="24">
        <v>265</v>
      </c>
      <c r="AC6" s="24">
        <v>409</v>
      </c>
      <c r="AD6" s="24">
        <v>739</v>
      </c>
      <c r="AE6" s="24">
        <v>1174</v>
      </c>
      <c r="AF6" s="24">
        <v>-575</v>
      </c>
      <c r="AG6" s="24">
        <v>-2601</v>
      </c>
      <c r="AH6" s="24"/>
      <c r="AI6" s="24"/>
      <c r="AJ6" s="24">
        <v>5842.84</v>
      </c>
      <c r="AK6" s="24">
        <v>23625.03</v>
      </c>
      <c r="AL6" s="24">
        <v>562</v>
      </c>
      <c r="AM6" s="24">
        <v>888</v>
      </c>
      <c r="AN6" s="24"/>
      <c r="AO6" s="24"/>
      <c r="AP6" s="24">
        <v>-50</v>
      </c>
      <c r="AQ6" s="24">
        <v>-229</v>
      </c>
      <c r="AR6" s="24">
        <v>5795</v>
      </c>
      <c r="AS6" s="24">
        <v>9376</v>
      </c>
      <c r="AT6" s="24">
        <v>1066</v>
      </c>
      <c r="AU6" s="24">
        <v>4521</v>
      </c>
      <c r="AV6" s="24">
        <v>8816</v>
      </c>
      <c r="AW6" s="24">
        <v>17280</v>
      </c>
      <c r="AX6" s="24">
        <v>438</v>
      </c>
      <c r="AY6" s="24">
        <v>860</v>
      </c>
      <c r="AZ6" s="24"/>
      <c r="BA6" s="24"/>
      <c r="BB6" s="24">
        <v>5263</v>
      </c>
      <c r="BC6" s="24">
        <v>12679</v>
      </c>
      <c r="BD6" s="24">
        <v>36736</v>
      </c>
      <c r="BE6" s="24">
        <v>55915</v>
      </c>
      <c r="BF6" s="24">
        <v>-38438</v>
      </c>
      <c r="BG6" s="24">
        <v>-27837</v>
      </c>
      <c r="BH6" s="24">
        <v>13079</v>
      </c>
      <c r="BI6" s="24">
        <v>11008</v>
      </c>
      <c r="BJ6" s="24">
        <v>819</v>
      </c>
      <c r="BK6" s="24">
        <v>3779</v>
      </c>
      <c r="BL6" s="37">
        <f>B6+D6+F6+H6+J6+L6+N6+P6+R6+T6+V6+X6+Z6+AB6+AD6+AF6+AH6+AJ6+AL6+AN6+AP6+AR6+AT6+AV6+AX6+AZ6+BB6+BD6+BF6+BH6+BJ6</f>
        <v>67714.209999999992</v>
      </c>
      <c r="BM6" s="37">
        <f>C6+E6+G6+I6+K6+M6+O6+Q6+S6+U6+W6+Y6+AA6+AC6+AE6+AG6+AI6+AK6+AM6+AO6+AQ6+AS6+AU6+AW6+AY6+BA6+BC6+BE6+BG6+BI6+BK6</f>
        <v>160074.53999999998</v>
      </c>
    </row>
    <row r="7" spans="1:65" x14ac:dyDescent="0.25">
      <c r="A7" s="36" t="s">
        <v>216</v>
      </c>
      <c r="B7" s="24"/>
      <c r="C7" s="24"/>
      <c r="D7" s="24"/>
      <c r="E7" s="24"/>
      <c r="F7" s="24"/>
      <c r="G7" s="24"/>
      <c r="H7" s="24">
        <v>-827</v>
      </c>
      <c r="I7" s="24">
        <v>-903</v>
      </c>
      <c r="J7" s="24"/>
      <c r="K7" s="24"/>
      <c r="L7" s="24">
        <v>60</v>
      </c>
      <c r="M7" s="24">
        <v>239</v>
      </c>
      <c r="N7" s="24">
        <v>-247</v>
      </c>
      <c r="O7" s="28">
        <v>-204</v>
      </c>
      <c r="P7" s="28"/>
      <c r="Q7" s="28"/>
      <c r="R7" s="28">
        <v>-4.32</v>
      </c>
      <c r="S7" s="28">
        <v>-8.1199999999999992</v>
      </c>
      <c r="T7" s="28">
        <v>-1306.18</v>
      </c>
      <c r="U7" s="28">
        <v>-2073.1</v>
      </c>
      <c r="V7" s="28">
        <v>-2525</v>
      </c>
      <c r="W7" s="28">
        <v>-5327</v>
      </c>
      <c r="X7" s="28">
        <v>907</v>
      </c>
      <c r="Y7" s="28">
        <v>557</v>
      </c>
      <c r="Z7" s="28">
        <v>402</v>
      </c>
      <c r="AA7" s="28">
        <v>65</v>
      </c>
      <c r="AB7" s="28">
        <v>-173</v>
      </c>
      <c r="AC7" s="28">
        <v>-243</v>
      </c>
      <c r="AD7" s="28">
        <v>-915</v>
      </c>
      <c r="AE7" s="28">
        <v>-1055</v>
      </c>
      <c r="AF7" s="28">
        <v>-226</v>
      </c>
      <c r="AG7" s="24">
        <v>-415</v>
      </c>
      <c r="AH7" s="24"/>
      <c r="AI7" s="24"/>
      <c r="AJ7" s="24">
        <v>-282.2</v>
      </c>
      <c r="AK7" s="24">
        <v>6010.41</v>
      </c>
      <c r="AL7" s="24"/>
      <c r="AM7" s="24"/>
      <c r="AN7" s="24"/>
      <c r="AO7" s="24"/>
      <c r="AP7" s="24">
        <v>0</v>
      </c>
      <c r="AQ7" s="24">
        <v>1</v>
      </c>
      <c r="AR7" s="24">
        <v>-336</v>
      </c>
      <c r="AS7" s="24">
        <v>-791</v>
      </c>
      <c r="AT7" s="24">
        <v>-71</v>
      </c>
      <c r="AU7" s="24">
        <v>7</v>
      </c>
      <c r="AV7" s="24">
        <v>-2189</v>
      </c>
      <c r="AW7" s="24">
        <v>-3654</v>
      </c>
      <c r="AX7" s="24">
        <v>10</v>
      </c>
      <c r="AY7" s="24">
        <v>18</v>
      </c>
      <c r="AZ7" s="24"/>
      <c r="BA7" s="24"/>
      <c r="BB7" s="24">
        <v>-2323</v>
      </c>
      <c r="BC7" s="24">
        <v>-2333</v>
      </c>
      <c r="BD7" s="24">
        <v>4607</v>
      </c>
      <c r="BE7" s="24">
        <v>1517</v>
      </c>
      <c r="BF7" s="24">
        <v>-6887</v>
      </c>
      <c r="BG7" s="24">
        <v>-5696</v>
      </c>
      <c r="BH7" s="24">
        <v>-1109</v>
      </c>
      <c r="BI7" s="24">
        <v>-170</v>
      </c>
      <c r="BJ7" s="24">
        <v>49</v>
      </c>
      <c r="BK7" s="24">
        <v>188</v>
      </c>
      <c r="BL7" s="37">
        <f t="shared" ref="BL7:BM8" si="0">B7+D7+F7+H7+J7+L7+N7+P7+R7+T7+V7+X7+Z7+AB7+AD7+AF7+AH7+AJ7+AL7+AN7+AP7+AR7+AT7+AV7+AX7+AZ7+BB7+BD7+BF7+BH7+BJ7</f>
        <v>-13385.7</v>
      </c>
      <c r="BM7" s="37">
        <f t="shared" si="0"/>
        <v>-14269.81</v>
      </c>
    </row>
    <row r="8" spans="1:65" x14ac:dyDescent="0.25">
      <c r="A8" s="36" t="s">
        <v>217</v>
      </c>
      <c r="B8" s="24">
        <v>-16035</v>
      </c>
      <c r="C8" s="24">
        <v>-27285</v>
      </c>
      <c r="D8" s="24">
        <v>-8179</v>
      </c>
      <c r="E8" s="24">
        <v>-15470</v>
      </c>
      <c r="F8" s="24">
        <v>17882</v>
      </c>
      <c r="G8" s="24">
        <v>42603</v>
      </c>
      <c r="H8" s="24">
        <v>29686</v>
      </c>
      <c r="I8" s="24">
        <v>62844</v>
      </c>
      <c r="J8" s="24">
        <v>8679</v>
      </c>
      <c r="K8" s="24">
        <v>7273</v>
      </c>
      <c r="L8" s="24">
        <v>11627</v>
      </c>
      <c r="M8" s="24">
        <v>20600</v>
      </c>
      <c r="N8" s="24">
        <v>-5843</v>
      </c>
      <c r="O8" s="24">
        <v>-3607</v>
      </c>
      <c r="P8" s="24">
        <v>56438.3</v>
      </c>
      <c r="Q8" s="24">
        <v>92329.77</v>
      </c>
      <c r="R8" s="24">
        <v>-3825.77</v>
      </c>
      <c r="S8" s="24">
        <v>-7441.33</v>
      </c>
      <c r="T8" s="24">
        <v>5380.93</v>
      </c>
      <c r="U8" s="24">
        <v>8369.43</v>
      </c>
      <c r="V8" s="24">
        <v>15561</v>
      </c>
      <c r="W8" s="24">
        <v>35530</v>
      </c>
      <c r="X8" s="24">
        <v>36385</v>
      </c>
      <c r="Y8" s="24">
        <v>53398</v>
      </c>
      <c r="Z8" s="24">
        <v>-3749</v>
      </c>
      <c r="AA8" s="24">
        <v>-11447</v>
      </c>
      <c r="AB8" s="24">
        <v>-2279</v>
      </c>
      <c r="AC8" s="24">
        <v>-4558</v>
      </c>
      <c r="AD8" s="24">
        <v>-2753</v>
      </c>
      <c r="AE8" s="24">
        <v>-5313</v>
      </c>
      <c r="AF8" s="24">
        <v>-764</v>
      </c>
      <c r="AG8" s="24">
        <v>-2497</v>
      </c>
      <c r="AH8" s="24">
        <v>-4964.8900000000003</v>
      </c>
      <c r="AI8" s="24">
        <v>-8367.1299999999992</v>
      </c>
      <c r="AJ8" s="24">
        <v>-149594.26</v>
      </c>
      <c r="AK8" s="24">
        <v>-187346.86</v>
      </c>
      <c r="AL8" s="24">
        <v>-213</v>
      </c>
      <c r="AM8" s="24">
        <v>-586</v>
      </c>
      <c r="AN8" s="24">
        <v>7601</v>
      </c>
      <c r="AO8" s="24">
        <v>12018</v>
      </c>
      <c r="AP8" s="24">
        <v>-1698</v>
      </c>
      <c r="AQ8" s="24">
        <v>-3373</v>
      </c>
      <c r="AR8" s="24">
        <v>14759</v>
      </c>
      <c r="AS8" s="24">
        <v>23654</v>
      </c>
      <c r="AT8" s="24">
        <v>-2718</v>
      </c>
      <c r="AU8" s="24">
        <v>-2887</v>
      </c>
      <c r="AV8" s="24">
        <v>-14298</v>
      </c>
      <c r="AW8" s="24">
        <v>-9155</v>
      </c>
      <c r="AX8" s="24">
        <v>8039</v>
      </c>
      <c r="AY8" s="24">
        <v>15478</v>
      </c>
      <c r="AZ8" s="24">
        <v>11018</v>
      </c>
      <c r="BA8" s="24">
        <v>38893</v>
      </c>
      <c r="BB8" s="24">
        <v>3762</v>
      </c>
      <c r="BC8" s="24">
        <v>23569</v>
      </c>
      <c r="BD8" s="24">
        <v>110226</v>
      </c>
      <c r="BE8" s="24">
        <v>80805</v>
      </c>
      <c r="BF8" s="24">
        <v>-285919</v>
      </c>
      <c r="BG8" s="24">
        <v>-306125</v>
      </c>
      <c r="BH8" s="24">
        <v>-49186</v>
      </c>
      <c r="BI8" s="24">
        <v>-86529</v>
      </c>
      <c r="BJ8" s="24">
        <v>3557</v>
      </c>
      <c r="BK8" s="24">
        <v>5053</v>
      </c>
      <c r="BL8" s="37">
        <f t="shared" si="0"/>
        <v>-211417.69000000003</v>
      </c>
      <c r="BM8" s="37">
        <f t="shared" si="0"/>
        <v>-159570.12</v>
      </c>
    </row>
    <row r="9" spans="1:65" x14ac:dyDescent="0.25">
      <c r="A9" s="38" t="s">
        <v>218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37"/>
      <c r="BM9" s="37"/>
    </row>
    <row r="10" spans="1:65" x14ac:dyDescent="0.25">
      <c r="A10" s="36" t="s">
        <v>219</v>
      </c>
      <c r="B10" s="24">
        <v>1819</v>
      </c>
      <c r="C10" s="24">
        <v>2922</v>
      </c>
      <c r="D10" s="24">
        <v>743</v>
      </c>
      <c r="E10" s="24">
        <v>1362</v>
      </c>
      <c r="F10" s="24">
        <v>2940</v>
      </c>
      <c r="G10" s="24">
        <v>9090</v>
      </c>
      <c r="H10" s="24">
        <v>12153</v>
      </c>
      <c r="I10" s="24">
        <v>21621</v>
      </c>
      <c r="J10" s="24">
        <v>3026</v>
      </c>
      <c r="K10" s="24">
        <v>4757</v>
      </c>
      <c r="L10" s="24">
        <v>2558</v>
      </c>
      <c r="M10" s="24">
        <v>4874</v>
      </c>
      <c r="N10" s="24">
        <v>2144</v>
      </c>
      <c r="O10" s="24">
        <v>4302</v>
      </c>
      <c r="P10" s="24">
        <v>12731.25</v>
      </c>
      <c r="Q10" s="24">
        <v>25177.46</v>
      </c>
      <c r="R10" s="24">
        <v>302.24</v>
      </c>
      <c r="S10" s="24">
        <v>589.45000000000005</v>
      </c>
      <c r="T10" s="24">
        <v>2249.0100000000002</v>
      </c>
      <c r="U10" s="24">
        <v>4461.66</v>
      </c>
      <c r="V10" s="24">
        <v>6984</v>
      </c>
      <c r="W10" s="24">
        <v>13199</v>
      </c>
      <c r="X10" s="24">
        <v>14791</v>
      </c>
      <c r="Y10" s="24">
        <v>31274</v>
      </c>
      <c r="Z10" s="24">
        <v>5872</v>
      </c>
      <c r="AA10" s="24">
        <v>11150</v>
      </c>
      <c r="AB10" s="24">
        <v>530</v>
      </c>
      <c r="AC10" s="24">
        <v>1021</v>
      </c>
      <c r="AD10" s="24">
        <v>1499</v>
      </c>
      <c r="AE10" s="24">
        <v>3053</v>
      </c>
      <c r="AF10" s="24">
        <v>985</v>
      </c>
      <c r="AG10" s="24">
        <v>1992</v>
      </c>
      <c r="AH10" s="24">
        <v>575.91</v>
      </c>
      <c r="AI10" s="24">
        <v>1114.79</v>
      </c>
      <c r="AJ10" s="24">
        <v>5084.8100000000004</v>
      </c>
      <c r="AK10" s="24">
        <v>9943.43</v>
      </c>
      <c r="AL10" s="24">
        <v>112</v>
      </c>
      <c r="AM10" s="24">
        <v>584</v>
      </c>
      <c r="AN10" s="24">
        <v>1449</v>
      </c>
      <c r="AO10" s="24">
        <v>2866</v>
      </c>
      <c r="AP10" s="24">
        <v>246</v>
      </c>
      <c r="AQ10" s="24">
        <v>513</v>
      </c>
      <c r="AR10" s="24">
        <v>4296</v>
      </c>
      <c r="AS10" s="24">
        <v>8364</v>
      </c>
      <c r="AT10" s="24">
        <v>2392</v>
      </c>
      <c r="AU10" s="24">
        <v>4809</v>
      </c>
      <c r="AV10" s="24">
        <v>3473</v>
      </c>
      <c r="AW10" s="24">
        <v>6626</v>
      </c>
      <c r="AX10" s="24">
        <v>1918</v>
      </c>
      <c r="AY10" s="24">
        <v>3850</v>
      </c>
      <c r="AZ10" s="24">
        <v>8296</v>
      </c>
      <c r="BA10" s="24">
        <v>16319</v>
      </c>
      <c r="BB10" s="24">
        <v>6134</v>
      </c>
      <c r="BC10" s="24">
        <v>11975</v>
      </c>
      <c r="BD10" s="24">
        <v>35333</v>
      </c>
      <c r="BE10" s="24">
        <v>63915</v>
      </c>
      <c r="BF10" s="24">
        <v>-14209</v>
      </c>
      <c r="BG10" s="24">
        <v>-13362</v>
      </c>
      <c r="BH10" s="24">
        <v>3642</v>
      </c>
      <c r="BI10" s="24">
        <v>8927</v>
      </c>
      <c r="BJ10" s="24">
        <v>1624</v>
      </c>
      <c r="BK10" s="24">
        <v>2920</v>
      </c>
      <c r="BL10" s="37">
        <f t="shared" ref="BL10:BM15" si="1">B10+D10+F10+H10+J10+L10+N10+P10+R10+T10+V10+X10+Z10+AB10+AD10+AF10+AH10+AJ10+AL10+AN10+AP10+AR10+AT10+AV10+AX10+AZ10+BB10+BD10+BF10+BH10+BJ10</f>
        <v>131693.22</v>
      </c>
      <c r="BM10" s="37">
        <f t="shared" si="1"/>
        <v>270209.79000000004</v>
      </c>
    </row>
    <row r="11" spans="1:65" x14ac:dyDescent="0.25">
      <c r="A11" s="36" t="s">
        <v>220</v>
      </c>
      <c r="B11" s="24">
        <v>198</v>
      </c>
      <c r="C11" s="24">
        <v>220</v>
      </c>
      <c r="D11" s="24">
        <v>12</v>
      </c>
      <c r="E11" s="24">
        <v>32</v>
      </c>
      <c r="F11" s="24">
        <v>267</v>
      </c>
      <c r="G11" s="24">
        <v>496</v>
      </c>
      <c r="H11" s="24">
        <v>3037</v>
      </c>
      <c r="I11" s="24">
        <v>11821</v>
      </c>
      <c r="J11" s="24">
        <v>232</v>
      </c>
      <c r="K11" s="24">
        <v>354</v>
      </c>
      <c r="L11" s="24">
        <v>132</v>
      </c>
      <c r="M11" s="24">
        <v>174</v>
      </c>
      <c r="N11" s="24">
        <v>135</v>
      </c>
      <c r="O11" s="24">
        <v>600</v>
      </c>
      <c r="P11" s="24">
        <v>1423.84</v>
      </c>
      <c r="Q11" s="24">
        <v>1698.44</v>
      </c>
      <c r="R11" s="24">
        <v>64.52</v>
      </c>
      <c r="S11" s="24">
        <v>79.52</v>
      </c>
      <c r="T11" s="24">
        <v>81.2</v>
      </c>
      <c r="U11" s="24">
        <v>129.52000000000001</v>
      </c>
      <c r="V11" s="24">
        <v>895</v>
      </c>
      <c r="W11" s="24">
        <v>1434</v>
      </c>
      <c r="X11" s="24">
        <v>4807</v>
      </c>
      <c r="Y11" s="24">
        <v>5685</v>
      </c>
      <c r="Z11" s="24">
        <v>9</v>
      </c>
      <c r="AA11" s="24">
        <v>16</v>
      </c>
      <c r="AB11" s="24">
        <v>48</v>
      </c>
      <c r="AC11" s="24">
        <v>48</v>
      </c>
      <c r="AD11" s="24">
        <v>16</v>
      </c>
      <c r="AE11" s="24">
        <v>76</v>
      </c>
      <c r="AF11" s="24">
        <v>53</v>
      </c>
      <c r="AG11" s="24">
        <v>93</v>
      </c>
      <c r="AH11" s="24">
        <v>10.49</v>
      </c>
      <c r="AI11" s="24">
        <v>17.760000000000002</v>
      </c>
      <c r="AJ11" s="24">
        <v>2506.0500000000002</v>
      </c>
      <c r="AK11" s="24">
        <v>3471.35</v>
      </c>
      <c r="AL11" s="24">
        <v>62</v>
      </c>
      <c r="AM11" s="24">
        <v>58</v>
      </c>
      <c r="AN11" s="24">
        <v>45</v>
      </c>
      <c r="AO11" s="24">
        <v>79</v>
      </c>
      <c r="AP11" s="24">
        <v>8</v>
      </c>
      <c r="AQ11" s="24">
        <v>9</v>
      </c>
      <c r="AR11" s="24">
        <v>587</v>
      </c>
      <c r="AS11" s="24">
        <v>830</v>
      </c>
      <c r="AT11" s="24">
        <v>468</v>
      </c>
      <c r="AU11" s="24">
        <v>1269</v>
      </c>
      <c r="AV11" s="24">
        <v>4757</v>
      </c>
      <c r="AW11" s="24">
        <v>9055</v>
      </c>
      <c r="AX11" s="24">
        <v>336</v>
      </c>
      <c r="AY11" s="24">
        <v>588</v>
      </c>
      <c r="AZ11" s="24">
        <v>72</v>
      </c>
      <c r="BA11" s="24">
        <v>255</v>
      </c>
      <c r="BB11" s="24">
        <v>630</v>
      </c>
      <c r="BC11" s="24">
        <v>5399</v>
      </c>
      <c r="BD11" s="24">
        <v>85696</v>
      </c>
      <c r="BE11" s="24">
        <v>96968</v>
      </c>
      <c r="BF11" s="24">
        <v>-3879</v>
      </c>
      <c r="BG11" s="24">
        <v>-3712</v>
      </c>
      <c r="BH11" s="24">
        <v>1052</v>
      </c>
      <c r="BI11" s="24">
        <v>2049</v>
      </c>
      <c r="BJ11" s="24">
        <v>47</v>
      </c>
      <c r="BK11" s="24">
        <v>90</v>
      </c>
      <c r="BL11" s="37">
        <f t="shared" si="1"/>
        <v>103808.1</v>
      </c>
      <c r="BM11" s="37">
        <f t="shared" si="1"/>
        <v>139382.59</v>
      </c>
    </row>
    <row r="12" spans="1:65" x14ac:dyDescent="0.25">
      <c r="A12" s="36" t="s">
        <v>221</v>
      </c>
      <c r="B12" s="24">
        <v>-70</v>
      </c>
      <c r="C12" s="24">
        <v>-102</v>
      </c>
      <c r="D12" s="24"/>
      <c r="E12" s="24"/>
      <c r="F12" s="24">
        <v>0</v>
      </c>
      <c r="G12" s="24">
        <v>0</v>
      </c>
      <c r="H12" s="24">
        <v>-59</v>
      </c>
      <c r="I12" s="24">
        <v>-96</v>
      </c>
      <c r="J12" s="24">
        <v>-11</v>
      </c>
      <c r="K12" s="24">
        <v>-11</v>
      </c>
      <c r="L12" s="24"/>
      <c r="M12" s="24"/>
      <c r="N12" s="24">
        <v>-13</v>
      </c>
      <c r="O12" s="24">
        <v>-13</v>
      </c>
      <c r="P12" s="24"/>
      <c r="Q12" s="24"/>
      <c r="R12" s="24">
        <v>-40.58</v>
      </c>
      <c r="S12" s="24">
        <v>-74.47</v>
      </c>
      <c r="T12" s="41">
        <v>-1.73</v>
      </c>
      <c r="U12" s="24">
        <v>-5.13</v>
      </c>
      <c r="V12" s="24">
        <v>-30</v>
      </c>
      <c r="W12" s="24">
        <v>-32</v>
      </c>
      <c r="X12" s="24">
        <v>-71</v>
      </c>
      <c r="Y12" s="24">
        <v>-215</v>
      </c>
      <c r="Z12" s="24"/>
      <c r="AA12" s="24"/>
      <c r="AB12" s="24">
        <v>22</v>
      </c>
      <c r="AC12" s="24">
        <v>-21</v>
      </c>
      <c r="AD12" s="24"/>
      <c r="AE12" s="24"/>
      <c r="AF12" s="24">
        <v>-43</v>
      </c>
      <c r="AG12" s="24">
        <v>-43</v>
      </c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>
        <v>-17</v>
      </c>
      <c r="AS12" s="24">
        <v>-82</v>
      </c>
      <c r="AT12" s="24">
        <v>-169</v>
      </c>
      <c r="AU12" s="24">
        <v>-203</v>
      </c>
      <c r="AV12" s="24">
        <v>-1344</v>
      </c>
      <c r="AW12" s="24">
        <v>-2719</v>
      </c>
      <c r="AX12" s="24"/>
      <c r="AY12" s="24"/>
      <c r="AZ12" s="24"/>
      <c r="BA12" s="24"/>
      <c r="BB12" s="24">
        <v>-131</v>
      </c>
      <c r="BC12" s="24">
        <v>-624</v>
      </c>
      <c r="BD12" s="24">
        <v>0</v>
      </c>
      <c r="BE12" s="24">
        <v>0</v>
      </c>
      <c r="BF12" s="24"/>
      <c r="BG12" s="24"/>
      <c r="BH12" s="24"/>
      <c r="BI12" s="24"/>
      <c r="BJ12" s="24">
        <v>-1</v>
      </c>
      <c r="BK12" s="24">
        <v>-6</v>
      </c>
      <c r="BL12" s="37">
        <f t="shared" si="1"/>
        <v>-1979.31</v>
      </c>
      <c r="BM12" s="37">
        <f t="shared" si="1"/>
        <v>-4246.6000000000004</v>
      </c>
    </row>
    <row r="13" spans="1:65" x14ac:dyDescent="0.25">
      <c r="A13" s="24" t="s">
        <v>222</v>
      </c>
      <c r="B13" s="24"/>
      <c r="C13" s="24"/>
      <c r="D13" s="24">
        <v>-73</v>
      </c>
      <c r="E13" s="24">
        <v>-136</v>
      </c>
      <c r="F13" s="24">
        <v>140</v>
      </c>
      <c r="G13" s="24">
        <v>210</v>
      </c>
      <c r="H13" s="24">
        <v>-900</v>
      </c>
      <c r="I13" s="24">
        <v>-1992</v>
      </c>
      <c r="J13" s="24">
        <v>-90</v>
      </c>
      <c r="K13" s="24">
        <v>-182</v>
      </c>
      <c r="L13" s="24"/>
      <c r="M13" s="24"/>
      <c r="N13" s="24"/>
      <c r="O13" s="24"/>
      <c r="P13" s="24"/>
      <c r="Q13" s="24"/>
      <c r="R13" s="24">
        <v>5.53</v>
      </c>
      <c r="S13" s="24">
        <v>9.75</v>
      </c>
      <c r="T13" s="24">
        <v>-3.51</v>
      </c>
      <c r="U13" s="24">
        <v>-28.77</v>
      </c>
      <c r="V13" s="24">
        <v>-328</v>
      </c>
      <c r="W13" s="24">
        <v>-679</v>
      </c>
      <c r="X13" s="24">
        <v>171</v>
      </c>
      <c r="Y13" s="24">
        <v>59</v>
      </c>
      <c r="Z13" s="24">
        <v>340</v>
      </c>
      <c r="AA13" s="24">
        <v>481</v>
      </c>
      <c r="AB13" s="24">
        <v>-71</v>
      </c>
      <c r="AC13" s="24">
        <v>-144</v>
      </c>
      <c r="AD13" s="24">
        <v>-100</v>
      </c>
      <c r="AE13" s="24">
        <v>-215</v>
      </c>
      <c r="AF13" s="24">
        <v>-17</v>
      </c>
      <c r="AG13" s="24">
        <v>-75</v>
      </c>
      <c r="AH13" s="24">
        <v>-40.53</v>
      </c>
      <c r="AI13" s="24">
        <v>-86.3</v>
      </c>
      <c r="AJ13" s="24"/>
      <c r="AK13" s="24"/>
      <c r="AL13" s="24"/>
      <c r="AM13" s="24"/>
      <c r="AN13" s="24">
        <v>36</v>
      </c>
      <c r="AO13" s="24">
        <v>26</v>
      </c>
      <c r="AP13" s="24">
        <v>-27</v>
      </c>
      <c r="AQ13" s="24">
        <v>-58</v>
      </c>
      <c r="AR13" s="24">
        <v>-151</v>
      </c>
      <c r="AS13" s="24">
        <v>-295</v>
      </c>
      <c r="AT13" s="24">
        <v>-163</v>
      </c>
      <c r="AU13" s="24">
        <v>-335</v>
      </c>
      <c r="AV13" s="24">
        <v>-16</v>
      </c>
      <c r="AW13" s="24">
        <v>-20</v>
      </c>
      <c r="AX13" s="24">
        <v>-63</v>
      </c>
      <c r="AY13" s="24">
        <v>-132</v>
      </c>
      <c r="AZ13" s="24"/>
      <c r="BA13" s="24"/>
      <c r="BB13" s="24">
        <v>36</v>
      </c>
      <c r="BC13" s="24">
        <v>38</v>
      </c>
      <c r="BD13" s="24">
        <v>-1084</v>
      </c>
      <c r="BE13" s="24">
        <v>-1914</v>
      </c>
      <c r="BF13" s="24"/>
      <c r="BG13" s="24"/>
      <c r="BH13" s="24"/>
      <c r="BI13" s="24"/>
      <c r="BJ13" s="24">
        <v>-134</v>
      </c>
      <c r="BK13" s="24">
        <v>-250</v>
      </c>
      <c r="BL13" s="37">
        <f t="shared" si="1"/>
        <v>-2532.5100000000002</v>
      </c>
      <c r="BM13" s="37">
        <f t="shared" si="1"/>
        <v>-5718.32</v>
      </c>
    </row>
    <row r="14" spans="1:65" s="4" customFormat="1" x14ac:dyDescent="0.25">
      <c r="A14" s="38" t="s">
        <v>223</v>
      </c>
      <c r="B14" s="26">
        <f>B15-B13-B12-B11-B10-B8-B7-B6</f>
        <v>1</v>
      </c>
      <c r="C14" s="26">
        <f t="shared" ref="C14:BK14" si="2">C15-C13-C12-C11-C10-C8-C7-C6</f>
        <v>2</v>
      </c>
      <c r="D14" s="26">
        <f t="shared" si="2"/>
        <v>0</v>
      </c>
      <c r="E14" s="26">
        <f t="shared" si="2"/>
        <v>0</v>
      </c>
      <c r="F14" s="26">
        <f t="shared" si="2"/>
        <v>35</v>
      </c>
      <c r="G14" s="26">
        <f t="shared" si="2"/>
        <v>54</v>
      </c>
      <c r="H14" s="26">
        <f t="shared" si="2"/>
        <v>8</v>
      </c>
      <c r="I14" s="26">
        <f t="shared" si="2"/>
        <v>8</v>
      </c>
      <c r="J14" s="26">
        <f t="shared" si="2"/>
        <v>0</v>
      </c>
      <c r="K14" s="26">
        <f t="shared" si="2"/>
        <v>0</v>
      </c>
      <c r="L14" s="26">
        <f t="shared" si="2"/>
        <v>691</v>
      </c>
      <c r="M14" s="26">
        <f t="shared" si="2"/>
        <v>691</v>
      </c>
      <c r="N14" s="26">
        <f t="shared" si="2"/>
        <v>11</v>
      </c>
      <c r="O14" s="26">
        <f t="shared" si="2"/>
        <v>15</v>
      </c>
      <c r="P14" s="26">
        <f t="shared" si="2"/>
        <v>116.32000000000698</v>
      </c>
      <c r="Q14" s="26">
        <f t="shared" si="2"/>
        <v>229.40000000000873</v>
      </c>
      <c r="R14" s="26">
        <f t="shared" si="2"/>
        <v>1.6400000000000556</v>
      </c>
      <c r="S14" s="26">
        <f t="shared" si="2"/>
        <v>1.6399999999996453</v>
      </c>
      <c r="T14" s="26">
        <f t="shared" si="2"/>
        <v>9.9999999990814104E-3</v>
      </c>
      <c r="U14" s="26">
        <f t="shared" si="2"/>
        <v>-1.2505552149377763E-12</v>
      </c>
      <c r="V14" s="26">
        <f t="shared" si="2"/>
        <v>0</v>
      </c>
      <c r="W14" s="26">
        <f t="shared" si="2"/>
        <v>0</v>
      </c>
      <c r="X14" s="26">
        <f t="shared" si="2"/>
        <v>851</v>
      </c>
      <c r="Y14" s="26">
        <f t="shared" si="2"/>
        <v>855</v>
      </c>
      <c r="Z14" s="26">
        <f t="shared" si="2"/>
        <v>270</v>
      </c>
      <c r="AA14" s="26">
        <f t="shared" si="2"/>
        <v>323</v>
      </c>
      <c r="AB14" s="26">
        <f t="shared" si="2"/>
        <v>9</v>
      </c>
      <c r="AC14" s="26">
        <f t="shared" si="2"/>
        <v>13</v>
      </c>
      <c r="AD14" s="26">
        <f t="shared" si="2"/>
        <v>0</v>
      </c>
      <c r="AE14" s="26">
        <f t="shared" si="2"/>
        <v>0</v>
      </c>
      <c r="AF14" s="26">
        <f t="shared" si="2"/>
        <v>0</v>
      </c>
      <c r="AG14" s="26">
        <f t="shared" si="2"/>
        <v>-2</v>
      </c>
      <c r="AH14" s="26">
        <f t="shared" si="2"/>
        <v>1.0000000000218279E-2</v>
      </c>
      <c r="AI14" s="26">
        <f t="shared" si="2"/>
        <v>-1.8189894035458565E-12</v>
      </c>
      <c r="AJ14" s="26">
        <f t="shared" si="2"/>
        <v>539.85000000001946</v>
      </c>
      <c r="AK14" s="26">
        <f t="shared" si="2"/>
        <v>875.15999999997803</v>
      </c>
      <c r="AL14" s="26">
        <f t="shared" si="2"/>
        <v>0</v>
      </c>
      <c r="AM14" s="26">
        <f t="shared" si="2"/>
        <v>0</v>
      </c>
      <c r="AN14" s="26">
        <f t="shared" si="2"/>
        <v>18</v>
      </c>
      <c r="AO14" s="26">
        <f t="shared" si="2"/>
        <v>31</v>
      </c>
      <c r="AP14" s="26">
        <f t="shared" si="2"/>
        <v>0</v>
      </c>
      <c r="AQ14" s="26">
        <f t="shared" si="2"/>
        <v>0</v>
      </c>
      <c r="AR14" s="26">
        <f t="shared" si="2"/>
        <v>835</v>
      </c>
      <c r="AS14" s="26">
        <f t="shared" si="2"/>
        <v>1245</v>
      </c>
      <c r="AT14" s="26">
        <f t="shared" si="2"/>
        <v>3</v>
      </c>
      <c r="AU14" s="26">
        <f t="shared" si="2"/>
        <v>5</v>
      </c>
      <c r="AV14" s="26">
        <f t="shared" si="2"/>
        <v>13</v>
      </c>
      <c r="AW14" s="26">
        <f t="shared" si="2"/>
        <v>19</v>
      </c>
      <c r="AX14" s="26">
        <f t="shared" si="2"/>
        <v>258</v>
      </c>
      <c r="AY14" s="26">
        <f t="shared" si="2"/>
        <v>259</v>
      </c>
      <c r="AZ14" s="26">
        <f t="shared" si="2"/>
        <v>89</v>
      </c>
      <c r="BA14" s="26">
        <f t="shared" si="2"/>
        <v>265</v>
      </c>
      <c r="BB14" s="26">
        <f t="shared" si="2"/>
        <v>53</v>
      </c>
      <c r="BC14" s="26">
        <f t="shared" si="2"/>
        <v>97</v>
      </c>
      <c r="BD14" s="26">
        <f t="shared" si="2"/>
        <v>455</v>
      </c>
      <c r="BE14" s="26">
        <f t="shared" si="2"/>
        <v>816</v>
      </c>
      <c r="BF14" s="26">
        <f t="shared" si="2"/>
        <v>1315</v>
      </c>
      <c r="BG14" s="26">
        <f t="shared" si="2"/>
        <v>2062</v>
      </c>
      <c r="BH14" s="26">
        <f t="shared" si="2"/>
        <v>-394</v>
      </c>
      <c r="BI14" s="26">
        <f t="shared" si="2"/>
        <v>-1120</v>
      </c>
      <c r="BJ14" s="26">
        <f t="shared" si="2"/>
        <v>3</v>
      </c>
      <c r="BK14" s="26">
        <f t="shared" si="2"/>
        <v>5</v>
      </c>
      <c r="BL14" s="39">
        <f t="shared" si="1"/>
        <v>5181.8300000000254</v>
      </c>
      <c r="BM14" s="39">
        <f t="shared" si="1"/>
        <v>6749.1999999999834</v>
      </c>
    </row>
    <row r="15" spans="1:65" s="4" customFormat="1" x14ac:dyDescent="0.25">
      <c r="A15" s="38" t="s">
        <v>25</v>
      </c>
      <c r="B15" s="26">
        <v>-14087</v>
      </c>
      <c r="C15" s="26">
        <v>-24243</v>
      </c>
      <c r="D15" s="26">
        <v>-7497</v>
      </c>
      <c r="E15" s="26">
        <v>-14212</v>
      </c>
      <c r="F15" s="26">
        <v>21264</v>
      </c>
      <c r="G15" s="26">
        <v>52453</v>
      </c>
      <c r="H15" s="26">
        <v>47339</v>
      </c>
      <c r="I15" s="26">
        <v>104702</v>
      </c>
      <c r="J15" s="26">
        <v>11836</v>
      </c>
      <c r="K15" s="26">
        <v>12191</v>
      </c>
      <c r="L15" s="26">
        <v>16619</v>
      </c>
      <c r="M15" s="26">
        <v>29269</v>
      </c>
      <c r="N15" s="26">
        <v>-3819</v>
      </c>
      <c r="O15" s="26">
        <v>-1455</v>
      </c>
      <c r="P15" s="26">
        <v>70709.710000000006</v>
      </c>
      <c r="Q15" s="26">
        <v>119435.07</v>
      </c>
      <c r="R15" s="26">
        <v>-3510.12</v>
      </c>
      <c r="S15" s="26">
        <v>-6742.93</v>
      </c>
      <c r="T15" s="26">
        <v>7013.48</v>
      </c>
      <c r="U15" s="26">
        <v>10944.49</v>
      </c>
      <c r="V15" s="26">
        <v>25211</v>
      </c>
      <c r="W15" s="26">
        <v>46183</v>
      </c>
      <c r="X15" s="26">
        <v>71570</v>
      </c>
      <c r="Y15" s="26">
        <v>120357</v>
      </c>
      <c r="Z15" s="26">
        <v>5731</v>
      </c>
      <c r="AA15" s="26">
        <v>7280</v>
      </c>
      <c r="AB15" s="26">
        <v>-1649</v>
      </c>
      <c r="AC15" s="26">
        <v>-3475</v>
      </c>
      <c r="AD15" s="26">
        <v>-1514</v>
      </c>
      <c r="AE15" s="26">
        <v>-2280</v>
      </c>
      <c r="AF15" s="26">
        <v>-587</v>
      </c>
      <c r="AG15" s="26">
        <v>-3548</v>
      </c>
      <c r="AH15" s="26">
        <v>-4419.01</v>
      </c>
      <c r="AI15" s="26">
        <v>-7320.88</v>
      </c>
      <c r="AJ15" s="26">
        <v>-135902.91</v>
      </c>
      <c r="AK15" s="26">
        <v>-143421.48000000001</v>
      </c>
      <c r="AL15" s="26">
        <v>523</v>
      </c>
      <c r="AM15" s="26">
        <v>944</v>
      </c>
      <c r="AN15" s="26">
        <v>9149</v>
      </c>
      <c r="AO15" s="26">
        <v>15020</v>
      </c>
      <c r="AP15" s="26">
        <v>-1521</v>
      </c>
      <c r="AQ15" s="26">
        <v>-3137</v>
      </c>
      <c r="AR15" s="26">
        <v>25768</v>
      </c>
      <c r="AS15" s="26">
        <v>42301</v>
      </c>
      <c r="AT15" s="26">
        <v>808</v>
      </c>
      <c r="AU15" s="26">
        <v>7186</v>
      </c>
      <c r="AV15" s="26">
        <v>-788</v>
      </c>
      <c r="AW15" s="26">
        <v>17432</v>
      </c>
      <c r="AX15" s="26">
        <v>10936</v>
      </c>
      <c r="AY15" s="26">
        <v>20921</v>
      </c>
      <c r="AZ15" s="26">
        <v>19475</v>
      </c>
      <c r="BA15" s="26">
        <v>55732</v>
      </c>
      <c r="BB15" s="26">
        <v>13424</v>
      </c>
      <c r="BC15" s="26">
        <v>50800</v>
      </c>
      <c r="BD15" s="26">
        <v>271969</v>
      </c>
      <c r="BE15" s="26">
        <v>298022</v>
      </c>
      <c r="BF15" s="26">
        <v>-348017</v>
      </c>
      <c r="BG15" s="26">
        <v>-354670</v>
      </c>
      <c r="BH15" s="26">
        <v>-32916</v>
      </c>
      <c r="BI15" s="26">
        <v>-65835</v>
      </c>
      <c r="BJ15" s="26">
        <v>5964</v>
      </c>
      <c r="BK15" s="26">
        <v>11779</v>
      </c>
      <c r="BL15" s="39">
        <f t="shared" si="1"/>
        <v>79082.150000000023</v>
      </c>
      <c r="BM15" s="39">
        <f t="shared" si="1"/>
        <v>392611.27</v>
      </c>
    </row>
    <row r="16" spans="1:65" x14ac:dyDescent="0.25">
      <c r="A16" s="38" t="s">
        <v>224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40"/>
      <c r="BM16" s="40"/>
    </row>
    <row r="17" spans="1:65" x14ac:dyDescent="0.25">
      <c r="A17" s="36" t="s">
        <v>225</v>
      </c>
      <c r="B17" s="24"/>
      <c r="C17" s="24"/>
      <c r="D17" s="24"/>
      <c r="E17" s="24">
        <v>150</v>
      </c>
      <c r="F17" s="24"/>
      <c r="G17" s="24"/>
      <c r="H17" s="24">
        <v>1339</v>
      </c>
      <c r="I17" s="24">
        <v>1339</v>
      </c>
      <c r="J17" s="24"/>
      <c r="K17" s="24"/>
      <c r="L17" s="24"/>
      <c r="M17" s="24">
        <v>-178</v>
      </c>
      <c r="N17" s="24"/>
      <c r="O17" s="24"/>
      <c r="P17" s="24"/>
      <c r="Q17" s="24"/>
      <c r="R17" s="24"/>
      <c r="S17" s="24"/>
      <c r="T17" s="24">
        <v>1.24</v>
      </c>
      <c r="U17" s="24">
        <v>4.2300000000000004</v>
      </c>
      <c r="V17" s="24"/>
      <c r="W17" s="24"/>
      <c r="X17" s="24">
        <v>8934</v>
      </c>
      <c r="Y17" s="24">
        <v>8929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>
        <v>-0.9</v>
      </c>
      <c r="AK17" s="24">
        <v>12.85</v>
      </c>
      <c r="AL17" s="24"/>
      <c r="AM17" s="24"/>
      <c r="AN17" s="24"/>
      <c r="AO17" s="24"/>
      <c r="AP17" s="24"/>
      <c r="AQ17" s="24"/>
      <c r="AR17" s="24">
        <v>850</v>
      </c>
      <c r="AS17" s="24">
        <v>850</v>
      </c>
      <c r="AT17" s="24"/>
      <c r="AU17" s="24"/>
      <c r="AV17" s="24"/>
      <c r="AW17" s="24">
        <v>-584</v>
      </c>
      <c r="AX17" s="24"/>
      <c r="AY17" s="24"/>
      <c r="AZ17" s="24"/>
      <c r="BA17" s="24"/>
      <c r="BB17" s="24"/>
      <c r="BC17" s="24"/>
      <c r="BD17" s="24">
        <v>-59</v>
      </c>
      <c r="BE17" s="24">
        <v>826</v>
      </c>
      <c r="BF17" s="24">
        <v>4</v>
      </c>
      <c r="BG17" s="24">
        <v>3</v>
      </c>
      <c r="BH17" s="24">
        <v>-86</v>
      </c>
      <c r="BI17" s="24">
        <v>-80</v>
      </c>
      <c r="BJ17" s="24"/>
      <c r="BK17" s="24"/>
      <c r="BL17" s="37">
        <f t="shared" ref="BL17:BM24" si="3">B17+D17+F17+H17+J17+L17+N17+P17+R17+T17+V17+X17+Z17+AB17+AD17+AF17+AH17+AJ17+AL17+AN17+AP17+AR17+AT17+AV17+AX17+AZ17+BB17+BD17+BF17+BH17+BJ17</f>
        <v>10982.34</v>
      </c>
      <c r="BM17" s="37">
        <f t="shared" si="3"/>
        <v>11272.08</v>
      </c>
    </row>
    <row r="18" spans="1:65" x14ac:dyDescent="0.25">
      <c r="A18" s="36" t="s">
        <v>226</v>
      </c>
      <c r="B18" s="24"/>
      <c r="C18" s="24"/>
      <c r="D18" s="24"/>
      <c r="E18" s="24"/>
      <c r="F18" s="24"/>
      <c r="G18" s="24"/>
      <c r="H18" s="24">
        <v>111</v>
      </c>
      <c r="I18" s="24">
        <v>191</v>
      </c>
      <c r="J18" s="24"/>
      <c r="K18" s="24"/>
      <c r="L18" s="24"/>
      <c r="M18" s="24"/>
      <c r="N18" s="24"/>
      <c r="O18" s="24"/>
      <c r="P18" s="24">
        <v>-0.55000000000000004</v>
      </c>
      <c r="Q18" s="24">
        <v>-0.55000000000000004</v>
      </c>
      <c r="R18" s="24"/>
      <c r="S18" s="24"/>
      <c r="T18" s="24">
        <v>2.7</v>
      </c>
      <c r="U18" s="24">
        <v>1.55</v>
      </c>
      <c r="V18" s="24"/>
      <c r="W18" s="24">
        <v>-69</v>
      </c>
      <c r="X18" s="24">
        <v>-44</v>
      </c>
      <c r="Y18" s="24">
        <v>198</v>
      </c>
      <c r="Z18" s="24"/>
      <c r="AA18" s="24"/>
      <c r="AB18" s="24"/>
      <c r="AC18" s="24"/>
      <c r="AD18" s="24"/>
      <c r="AE18" s="24"/>
      <c r="AF18" s="24">
        <v>-2</v>
      </c>
      <c r="AG18" s="24">
        <v>-2</v>
      </c>
      <c r="AH18" s="24">
        <v>23.01</v>
      </c>
      <c r="AI18" s="24">
        <v>9.82</v>
      </c>
      <c r="AJ18" s="24">
        <v>8643.4500000000007</v>
      </c>
      <c r="AK18" s="24">
        <v>28698.95</v>
      </c>
      <c r="AL18" s="24"/>
      <c r="AM18" s="24"/>
      <c r="AN18" s="24">
        <v>-47</v>
      </c>
      <c r="AO18" s="24">
        <v>63</v>
      </c>
      <c r="AP18" s="24">
        <v>11</v>
      </c>
      <c r="AQ18" s="24">
        <v>11</v>
      </c>
      <c r="AR18" s="24">
        <v>223</v>
      </c>
      <c r="AS18" s="24">
        <v>223</v>
      </c>
      <c r="AT18" s="24"/>
      <c r="AU18" s="24"/>
      <c r="AV18" s="24">
        <v>2363</v>
      </c>
      <c r="AW18" s="24">
        <v>2363</v>
      </c>
      <c r="AX18" s="24"/>
      <c r="AY18" s="24"/>
      <c r="AZ18" s="24"/>
      <c r="BA18" s="24">
        <v>7</v>
      </c>
      <c r="BB18" s="24">
        <v>-62</v>
      </c>
      <c r="BC18" s="24">
        <v>-20</v>
      </c>
      <c r="BD18" s="24">
        <v>45</v>
      </c>
      <c r="BE18" s="24">
        <v>-6</v>
      </c>
      <c r="BF18" s="24">
        <v>0</v>
      </c>
      <c r="BG18" s="24">
        <v>0</v>
      </c>
      <c r="BH18" s="24">
        <v>-2</v>
      </c>
      <c r="BI18" s="24">
        <v>-18</v>
      </c>
      <c r="BJ18" s="24"/>
      <c r="BK18" s="24"/>
      <c r="BL18" s="37">
        <f t="shared" si="3"/>
        <v>11264.61</v>
      </c>
      <c r="BM18" s="37">
        <f t="shared" si="3"/>
        <v>31650.77</v>
      </c>
    </row>
    <row r="19" spans="1:65" x14ac:dyDescent="0.25">
      <c r="A19" s="36" t="s">
        <v>47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>
        <v>0.2</v>
      </c>
      <c r="AG19" s="24">
        <v>0.1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>
        <v>-385</v>
      </c>
      <c r="BG19" s="24">
        <v>-353</v>
      </c>
      <c r="BH19" s="24"/>
      <c r="BI19" s="24"/>
      <c r="BJ19" s="24"/>
      <c r="BK19" s="24"/>
      <c r="BL19" s="37">
        <f t="shared" si="3"/>
        <v>-384.8</v>
      </c>
      <c r="BM19" s="37">
        <f t="shared" si="3"/>
        <v>-352.9</v>
      </c>
    </row>
    <row r="20" spans="1:65" s="4" customFormat="1" x14ac:dyDescent="0.25">
      <c r="A20" s="38" t="s">
        <v>227</v>
      </c>
      <c r="B20" s="26">
        <f>B21-B19-B18-B17</f>
        <v>-21</v>
      </c>
      <c r="C20" s="26">
        <f t="shared" ref="C20:BK20" si="4">C21-C19-C18-C17</f>
        <v>13</v>
      </c>
      <c r="D20" s="26">
        <f t="shared" si="4"/>
        <v>379</v>
      </c>
      <c r="E20" s="26">
        <f t="shared" si="4"/>
        <v>564</v>
      </c>
      <c r="F20" s="26">
        <f t="shared" si="4"/>
        <v>55</v>
      </c>
      <c r="G20" s="26">
        <f t="shared" si="4"/>
        <v>504</v>
      </c>
      <c r="H20" s="26">
        <f t="shared" si="4"/>
        <v>912</v>
      </c>
      <c r="I20" s="26">
        <f t="shared" si="4"/>
        <v>3123</v>
      </c>
      <c r="J20" s="26">
        <f t="shared" si="4"/>
        <v>139</v>
      </c>
      <c r="K20" s="26">
        <f t="shared" si="4"/>
        <v>177</v>
      </c>
      <c r="L20" s="26">
        <f t="shared" si="4"/>
        <v>11911</v>
      </c>
      <c r="M20" s="26">
        <f t="shared" si="4"/>
        <v>19614</v>
      </c>
      <c r="N20" s="26">
        <f t="shared" si="4"/>
        <v>139</v>
      </c>
      <c r="O20" s="26">
        <f t="shared" si="4"/>
        <v>179</v>
      </c>
      <c r="P20" s="26">
        <f t="shared" si="4"/>
        <v>681.17</v>
      </c>
      <c r="Q20" s="26">
        <f t="shared" si="4"/>
        <v>682.21999999999991</v>
      </c>
      <c r="R20" s="26">
        <f t="shared" si="4"/>
        <v>62.42</v>
      </c>
      <c r="S20" s="26">
        <f t="shared" si="4"/>
        <v>213.35</v>
      </c>
      <c r="T20" s="26">
        <f t="shared" si="4"/>
        <v>876.4799999999999</v>
      </c>
      <c r="U20" s="26">
        <f t="shared" si="4"/>
        <v>2540.16</v>
      </c>
      <c r="V20" s="26">
        <f t="shared" si="4"/>
        <v>1597</v>
      </c>
      <c r="W20" s="26">
        <f t="shared" si="4"/>
        <v>3415</v>
      </c>
      <c r="X20" s="26">
        <f t="shared" si="4"/>
        <v>1713</v>
      </c>
      <c r="Y20" s="26">
        <f t="shared" si="4"/>
        <v>3754</v>
      </c>
      <c r="Z20" s="26">
        <f t="shared" si="4"/>
        <v>127</v>
      </c>
      <c r="AA20" s="26">
        <f t="shared" si="4"/>
        <v>255</v>
      </c>
      <c r="AB20" s="26">
        <f t="shared" si="4"/>
        <v>48</v>
      </c>
      <c r="AC20" s="26">
        <f t="shared" si="4"/>
        <v>48</v>
      </c>
      <c r="AD20" s="26">
        <f t="shared" si="4"/>
        <v>174</v>
      </c>
      <c r="AE20" s="26">
        <f t="shared" si="4"/>
        <v>342</v>
      </c>
      <c r="AF20" s="26">
        <f t="shared" si="4"/>
        <v>6896.8</v>
      </c>
      <c r="AG20" s="26">
        <f t="shared" si="4"/>
        <v>11621.9</v>
      </c>
      <c r="AH20" s="26">
        <f t="shared" si="4"/>
        <v>276.87</v>
      </c>
      <c r="AI20" s="26">
        <f t="shared" si="4"/>
        <v>683.6099999999999</v>
      </c>
      <c r="AJ20" s="26">
        <f t="shared" si="4"/>
        <v>2042.3200000000002</v>
      </c>
      <c r="AK20" s="26">
        <f t="shared" si="4"/>
        <v>4712.6899999999969</v>
      </c>
      <c r="AL20" s="26">
        <f t="shared" si="4"/>
        <v>0</v>
      </c>
      <c r="AM20" s="26">
        <f t="shared" si="4"/>
        <v>0</v>
      </c>
      <c r="AN20" s="26">
        <f t="shared" si="4"/>
        <v>8946</v>
      </c>
      <c r="AO20" s="26">
        <f t="shared" si="4"/>
        <v>14388</v>
      </c>
      <c r="AP20" s="26">
        <f t="shared" si="4"/>
        <v>1340</v>
      </c>
      <c r="AQ20" s="26">
        <f t="shared" si="4"/>
        <v>3299</v>
      </c>
      <c r="AR20" s="26">
        <f t="shared" si="4"/>
        <v>12759</v>
      </c>
      <c r="AS20" s="26">
        <f t="shared" si="4"/>
        <v>16208</v>
      </c>
      <c r="AT20" s="26">
        <f t="shared" si="4"/>
        <v>410</v>
      </c>
      <c r="AU20" s="26">
        <f t="shared" si="4"/>
        <v>869</v>
      </c>
      <c r="AV20" s="26">
        <f t="shared" si="4"/>
        <v>362</v>
      </c>
      <c r="AW20" s="26">
        <f t="shared" si="4"/>
        <v>537</v>
      </c>
      <c r="AX20" s="26">
        <f t="shared" si="4"/>
        <v>484</v>
      </c>
      <c r="AY20" s="26">
        <f t="shared" si="4"/>
        <v>951</v>
      </c>
      <c r="AZ20" s="26">
        <f t="shared" si="4"/>
        <v>7410</v>
      </c>
      <c r="BA20" s="26">
        <f t="shared" si="4"/>
        <v>14861</v>
      </c>
      <c r="BB20" s="26">
        <f t="shared" si="4"/>
        <v>1131</v>
      </c>
      <c r="BC20" s="26">
        <f t="shared" si="4"/>
        <v>1925</v>
      </c>
      <c r="BD20" s="26">
        <f t="shared" si="4"/>
        <v>269632</v>
      </c>
      <c r="BE20" s="26">
        <f t="shared" si="4"/>
        <v>280057</v>
      </c>
      <c r="BF20" s="26">
        <f t="shared" si="4"/>
        <v>1887</v>
      </c>
      <c r="BG20" s="26">
        <f t="shared" si="4"/>
        <v>4373</v>
      </c>
      <c r="BH20" s="26">
        <f t="shared" si="4"/>
        <v>1916</v>
      </c>
      <c r="BI20" s="26">
        <f t="shared" si="4"/>
        <v>4016</v>
      </c>
      <c r="BJ20" s="26">
        <f t="shared" si="4"/>
        <v>101</v>
      </c>
      <c r="BK20" s="26">
        <f t="shared" si="4"/>
        <v>200</v>
      </c>
      <c r="BL20" s="39">
        <f t="shared" si="3"/>
        <v>334387.06</v>
      </c>
      <c r="BM20" s="39">
        <f t="shared" si="3"/>
        <v>394125.93</v>
      </c>
    </row>
    <row r="21" spans="1:65" s="4" customFormat="1" x14ac:dyDescent="0.25">
      <c r="A21" s="38" t="s">
        <v>29</v>
      </c>
      <c r="B21" s="26">
        <v>-21</v>
      </c>
      <c r="C21" s="26">
        <v>13</v>
      </c>
      <c r="D21" s="26">
        <v>379</v>
      </c>
      <c r="E21" s="26">
        <v>714</v>
      </c>
      <c r="F21" s="26">
        <v>55</v>
      </c>
      <c r="G21" s="26">
        <v>504</v>
      </c>
      <c r="H21" s="26">
        <v>2362</v>
      </c>
      <c r="I21" s="26">
        <v>4653</v>
      </c>
      <c r="J21" s="26">
        <v>139</v>
      </c>
      <c r="K21" s="26">
        <v>177</v>
      </c>
      <c r="L21" s="26">
        <v>11911</v>
      </c>
      <c r="M21" s="26">
        <v>19436</v>
      </c>
      <c r="N21" s="26">
        <v>139</v>
      </c>
      <c r="O21" s="26">
        <v>179</v>
      </c>
      <c r="P21" s="26">
        <v>680.62</v>
      </c>
      <c r="Q21" s="26">
        <v>681.67</v>
      </c>
      <c r="R21" s="26">
        <v>62.42</v>
      </c>
      <c r="S21" s="26">
        <v>213.35</v>
      </c>
      <c r="T21" s="26">
        <v>880.42</v>
      </c>
      <c r="U21" s="26">
        <v>2545.94</v>
      </c>
      <c r="V21" s="26">
        <v>1597</v>
      </c>
      <c r="W21" s="26">
        <v>3346</v>
      </c>
      <c r="X21" s="26">
        <v>10603</v>
      </c>
      <c r="Y21" s="26">
        <v>12881</v>
      </c>
      <c r="Z21" s="26">
        <v>127</v>
      </c>
      <c r="AA21" s="26">
        <v>255</v>
      </c>
      <c r="AB21" s="26">
        <v>48</v>
      </c>
      <c r="AC21" s="26">
        <v>48</v>
      </c>
      <c r="AD21" s="26">
        <v>174</v>
      </c>
      <c r="AE21" s="26">
        <v>342</v>
      </c>
      <c r="AF21" s="26">
        <v>6895</v>
      </c>
      <c r="AG21" s="26">
        <v>11620</v>
      </c>
      <c r="AH21" s="26">
        <v>299.88</v>
      </c>
      <c r="AI21" s="26">
        <v>693.43</v>
      </c>
      <c r="AJ21" s="26">
        <v>10684.87</v>
      </c>
      <c r="AK21" s="26">
        <v>33424.49</v>
      </c>
      <c r="AL21" s="26"/>
      <c r="AM21" s="26"/>
      <c r="AN21" s="26">
        <v>8899</v>
      </c>
      <c r="AO21" s="26">
        <v>14451</v>
      </c>
      <c r="AP21" s="26">
        <v>1351</v>
      </c>
      <c r="AQ21" s="26">
        <v>3310</v>
      </c>
      <c r="AR21" s="26">
        <v>13832</v>
      </c>
      <c r="AS21" s="26">
        <v>17281</v>
      </c>
      <c r="AT21" s="26">
        <v>410</v>
      </c>
      <c r="AU21" s="26">
        <v>869</v>
      </c>
      <c r="AV21" s="26">
        <v>2725</v>
      </c>
      <c r="AW21" s="26">
        <v>2316</v>
      </c>
      <c r="AX21" s="26">
        <v>484</v>
      </c>
      <c r="AY21" s="26">
        <v>951</v>
      </c>
      <c r="AZ21" s="26">
        <v>7410</v>
      </c>
      <c r="BA21" s="26">
        <v>14868</v>
      </c>
      <c r="BB21" s="26">
        <v>1069</v>
      </c>
      <c r="BC21" s="26">
        <v>1905</v>
      </c>
      <c r="BD21" s="26">
        <v>269618</v>
      </c>
      <c r="BE21" s="26">
        <v>280877</v>
      </c>
      <c r="BF21" s="26">
        <v>1506</v>
      </c>
      <c r="BG21" s="26">
        <v>4023</v>
      </c>
      <c r="BH21" s="26">
        <v>1828</v>
      </c>
      <c r="BI21" s="26">
        <v>3918</v>
      </c>
      <c r="BJ21" s="26">
        <v>101</v>
      </c>
      <c r="BK21" s="26">
        <v>200</v>
      </c>
      <c r="BL21" s="39">
        <f t="shared" si="3"/>
        <v>356249.20999999996</v>
      </c>
      <c r="BM21" s="39">
        <f t="shared" si="3"/>
        <v>436695.88</v>
      </c>
    </row>
    <row r="22" spans="1:65" s="4" customFormat="1" x14ac:dyDescent="0.25">
      <c r="A22" s="38" t="s">
        <v>228</v>
      </c>
      <c r="B22" s="26">
        <f>B15-B21</f>
        <v>-14066</v>
      </c>
      <c r="C22" s="26">
        <f t="shared" ref="C22:BK22" si="5">C15-C21</f>
        <v>-24256</v>
      </c>
      <c r="D22" s="26">
        <f t="shared" si="5"/>
        <v>-7876</v>
      </c>
      <c r="E22" s="26">
        <f t="shared" si="5"/>
        <v>-14926</v>
      </c>
      <c r="F22" s="26">
        <f t="shared" si="5"/>
        <v>21209</v>
      </c>
      <c r="G22" s="26">
        <f t="shared" si="5"/>
        <v>51949</v>
      </c>
      <c r="H22" s="26">
        <f t="shared" si="5"/>
        <v>44977</v>
      </c>
      <c r="I22" s="26">
        <f t="shared" si="5"/>
        <v>100049</v>
      </c>
      <c r="J22" s="26">
        <f t="shared" si="5"/>
        <v>11697</v>
      </c>
      <c r="K22" s="26">
        <f t="shared" si="5"/>
        <v>12014</v>
      </c>
      <c r="L22" s="26">
        <f t="shared" si="5"/>
        <v>4708</v>
      </c>
      <c r="M22" s="26">
        <f t="shared" si="5"/>
        <v>9833</v>
      </c>
      <c r="N22" s="26">
        <f t="shared" si="5"/>
        <v>-3958</v>
      </c>
      <c r="O22" s="26">
        <f t="shared" si="5"/>
        <v>-1634</v>
      </c>
      <c r="P22" s="26">
        <f t="shared" si="5"/>
        <v>70029.090000000011</v>
      </c>
      <c r="Q22" s="26">
        <f t="shared" si="5"/>
        <v>118753.40000000001</v>
      </c>
      <c r="R22" s="26">
        <f t="shared" si="5"/>
        <v>-3572.54</v>
      </c>
      <c r="S22" s="26">
        <f t="shared" si="5"/>
        <v>-6956.2800000000007</v>
      </c>
      <c r="T22" s="26">
        <f t="shared" si="5"/>
        <v>6133.0599999999995</v>
      </c>
      <c r="U22" s="26">
        <f t="shared" si="5"/>
        <v>8398.5499999999993</v>
      </c>
      <c r="V22" s="26">
        <f t="shared" si="5"/>
        <v>23614</v>
      </c>
      <c r="W22" s="26">
        <f t="shared" si="5"/>
        <v>42837</v>
      </c>
      <c r="X22" s="26">
        <f t="shared" si="5"/>
        <v>60967</v>
      </c>
      <c r="Y22" s="26">
        <f t="shared" si="5"/>
        <v>107476</v>
      </c>
      <c r="Z22" s="26">
        <f t="shared" si="5"/>
        <v>5604</v>
      </c>
      <c r="AA22" s="26">
        <f t="shared" si="5"/>
        <v>7025</v>
      </c>
      <c r="AB22" s="26">
        <f t="shared" si="5"/>
        <v>-1697</v>
      </c>
      <c r="AC22" s="26">
        <f t="shared" si="5"/>
        <v>-3523</v>
      </c>
      <c r="AD22" s="26">
        <f t="shared" si="5"/>
        <v>-1688</v>
      </c>
      <c r="AE22" s="26">
        <f t="shared" si="5"/>
        <v>-2622</v>
      </c>
      <c r="AF22" s="26">
        <f t="shared" si="5"/>
        <v>-7482</v>
      </c>
      <c r="AG22" s="26">
        <f t="shared" si="5"/>
        <v>-15168</v>
      </c>
      <c r="AH22" s="26">
        <f t="shared" si="5"/>
        <v>-4718.8900000000003</v>
      </c>
      <c r="AI22" s="26">
        <f t="shared" si="5"/>
        <v>-8014.31</v>
      </c>
      <c r="AJ22" s="26">
        <f t="shared" si="5"/>
        <v>-146587.78</v>
      </c>
      <c r="AK22" s="26">
        <f t="shared" si="5"/>
        <v>-176845.97</v>
      </c>
      <c r="AL22" s="26">
        <f t="shared" si="5"/>
        <v>523</v>
      </c>
      <c r="AM22" s="26">
        <f t="shared" si="5"/>
        <v>944</v>
      </c>
      <c r="AN22" s="26">
        <f t="shared" si="5"/>
        <v>250</v>
      </c>
      <c r="AO22" s="26">
        <f t="shared" si="5"/>
        <v>569</v>
      </c>
      <c r="AP22" s="26">
        <f t="shared" si="5"/>
        <v>-2872</v>
      </c>
      <c r="AQ22" s="26">
        <f t="shared" si="5"/>
        <v>-6447</v>
      </c>
      <c r="AR22" s="26">
        <f t="shared" si="5"/>
        <v>11936</v>
      </c>
      <c r="AS22" s="26">
        <f t="shared" si="5"/>
        <v>25020</v>
      </c>
      <c r="AT22" s="26">
        <f t="shared" si="5"/>
        <v>398</v>
      </c>
      <c r="AU22" s="26">
        <f t="shared" si="5"/>
        <v>6317</v>
      </c>
      <c r="AV22" s="26">
        <f t="shared" si="5"/>
        <v>-3513</v>
      </c>
      <c r="AW22" s="26">
        <f t="shared" si="5"/>
        <v>15116</v>
      </c>
      <c r="AX22" s="26">
        <f t="shared" si="5"/>
        <v>10452</v>
      </c>
      <c r="AY22" s="26">
        <f t="shared" si="5"/>
        <v>19970</v>
      </c>
      <c r="AZ22" s="26">
        <f t="shared" si="5"/>
        <v>12065</v>
      </c>
      <c r="BA22" s="26">
        <f t="shared" si="5"/>
        <v>40864</v>
      </c>
      <c r="BB22" s="26">
        <f t="shared" si="5"/>
        <v>12355</v>
      </c>
      <c r="BC22" s="26">
        <f t="shared" si="5"/>
        <v>48895</v>
      </c>
      <c r="BD22" s="26">
        <f t="shared" si="5"/>
        <v>2351</v>
      </c>
      <c r="BE22" s="26">
        <f t="shared" si="5"/>
        <v>17145</v>
      </c>
      <c r="BF22" s="26">
        <f t="shared" si="5"/>
        <v>-349523</v>
      </c>
      <c r="BG22" s="26">
        <f t="shared" si="5"/>
        <v>-358693</v>
      </c>
      <c r="BH22" s="26">
        <f t="shared" si="5"/>
        <v>-34744</v>
      </c>
      <c r="BI22" s="26">
        <f t="shared" si="5"/>
        <v>-69753</v>
      </c>
      <c r="BJ22" s="26">
        <f t="shared" si="5"/>
        <v>5863</v>
      </c>
      <c r="BK22" s="26">
        <f t="shared" si="5"/>
        <v>11579</v>
      </c>
      <c r="BL22" s="39">
        <f t="shared" si="3"/>
        <v>-277167.06</v>
      </c>
      <c r="BM22" s="39">
        <f t="shared" si="3"/>
        <v>-44084.609999999986</v>
      </c>
    </row>
    <row r="23" spans="1:65" x14ac:dyDescent="0.25">
      <c r="A23" s="36" t="s">
        <v>230</v>
      </c>
      <c r="B23" s="24"/>
      <c r="C23" s="24"/>
      <c r="D23" s="24"/>
      <c r="E23" s="24"/>
      <c r="F23" s="24">
        <v>4947</v>
      </c>
      <c r="G23" s="24">
        <v>12620</v>
      </c>
      <c r="H23" s="24">
        <v>11383</v>
      </c>
      <c r="I23" s="24">
        <v>25317</v>
      </c>
      <c r="J23" s="24">
        <f>1228+1728</f>
        <v>2956</v>
      </c>
      <c r="K23" s="24">
        <f>1228+1814</f>
        <v>3042</v>
      </c>
      <c r="L23" s="24">
        <v>1224</v>
      </c>
      <c r="M23" s="24">
        <v>2532</v>
      </c>
      <c r="N23" s="24"/>
      <c r="O23" s="24"/>
      <c r="P23" s="24">
        <f>16116-47.11+0.86-76.13</f>
        <v>15993.62</v>
      </c>
      <c r="Q23" s="24">
        <f>26016-47.11+0.86-76.13</f>
        <v>25893.62</v>
      </c>
      <c r="R23" s="24"/>
      <c r="S23" s="24"/>
      <c r="T23" s="24">
        <f>-32+1624.84</f>
        <v>1592.84</v>
      </c>
      <c r="U23" s="24">
        <f>-44+2225.29</f>
        <v>2181.29</v>
      </c>
      <c r="V23" s="24">
        <f>212+5696</f>
        <v>5908</v>
      </c>
      <c r="W23" s="24">
        <f>385+10331</f>
        <v>10716</v>
      </c>
      <c r="X23" s="24">
        <f>16931-12848-2169</f>
        <v>1914</v>
      </c>
      <c r="Y23" s="24">
        <f>29381-12848-3013</f>
        <v>13520</v>
      </c>
      <c r="Z23" s="24">
        <f>1792-511</f>
        <v>1281</v>
      </c>
      <c r="AA23" s="24">
        <f>-525+2140</f>
        <v>1615</v>
      </c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>
        <v>20</v>
      </c>
      <c r="AQ23" s="24">
        <v>-7</v>
      </c>
      <c r="AR23" s="24">
        <f>-980+1906+4173</f>
        <v>5099</v>
      </c>
      <c r="AS23" s="24">
        <f>3589+1906+4173</f>
        <v>9668</v>
      </c>
      <c r="AT23" s="24">
        <v>90</v>
      </c>
      <c r="AU23" s="24">
        <v>1592</v>
      </c>
      <c r="AV23" s="24">
        <f>-635-545</f>
        <v>-1180</v>
      </c>
      <c r="AW23" s="24">
        <f>-614+4162</f>
        <v>3548</v>
      </c>
      <c r="AX23" s="24">
        <v>2856</v>
      </c>
      <c r="AY23" s="24">
        <v>5222</v>
      </c>
      <c r="AZ23" s="24">
        <v>2755</v>
      </c>
      <c r="BA23" s="24">
        <v>10229</v>
      </c>
      <c r="BB23" s="24">
        <f>967+2140</f>
        <v>3107</v>
      </c>
      <c r="BC23" s="24">
        <f>2428+9953</f>
        <v>12381</v>
      </c>
      <c r="BD23" s="24">
        <f>-1667+673</f>
        <v>-994</v>
      </c>
      <c r="BE23" s="24">
        <f>-1811+3763</f>
        <v>1952</v>
      </c>
      <c r="BF23" s="24"/>
      <c r="BG23" s="24"/>
      <c r="BH23" s="24"/>
      <c r="BI23" s="24"/>
      <c r="BJ23" s="24">
        <f>154+1382</f>
        <v>1536</v>
      </c>
      <c r="BK23" s="24">
        <f>305+2728</f>
        <v>3033</v>
      </c>
      <c r="BL23" s="37">
        <f t="shared" si="3"/>
        <v>60488.46</v>
      </c>
      <c r="BM23" s="37">
        <f t="shared" si="3"/>
        <v>145054.90999999997</v>
      </c>
    </row>
    <row r="24" spans="1:65" s="4" customFormat="1" x14ac:dyDescent="0.25">
      <c r="A24" s="38" t="s">
        <v>229</v>
      </c>
      <c r="B24" s="26">
        <f>B22-B23</f>
        <v>-14066</v>
      </c>
      <c r="C24" s="26">
        <f t="shared" ref="C24:BK24" si="6">C22-C23</f>
        <v>-24256</v>
      </c>
      <c r="D24" s="26">
        <f t="shared" si="6"/>
        <v>-7876</v>
      </c>
      <c r="E24" s="26">
        <f t="shared" si="6"/>
        <v>-14926</v>
      </c>
      <c r="F24" s="26">
        <f t="shared" si="6"/>
        <v>16262</v>
      </c>
      <c r="G24" s="26">
        <f t="shared" si="6"/>
        <v>39329</v>
      </c>
      <c r="H24" s="26">
        <f t="shared" si="6"/>
        <v>33594</v>
      </c>
      <c r="I24" s="26">
        <f t="shared" si="6"/>
        <v>74732</v>
      </c>
      <c r="J24" s="26">
        <f t="shared" si="6"/>
        <v>8741</v>
      </c>
      <c r="K24" s="26">
        <f t="shared" si="6"/>
        <v>8972</v>
      </c>
      <c r="L24" s="26">
        <f t="shared" si="6"/>
        <v>3484</v>
      </c>
      <c r="M24" s="26">
        <f t="shared" si="6"/>
        <v>7301</v>
      </c>
      <c r="N24" s="26">
        <f t="shared" si="6"/>
        <v>-3958</v>
      </c>
      <c r="O24" s="26">
        <f t="shared" si="6"/>
        <v>-1634</v>
      </c>
      <c r="P24" s="26">
        <f t="shared" si="6"/>
        <v>54035.470000000008</v>
      </c>
      <c r="Q24" s="26">
        <f t="shared" si="6"/>
        <v>92859.780000000013</v>
      </c>
      <c r="R24" s="26">
        <f t="shared" si="6"/>
        <v>-3572.54</v>
      </c>
      <c r="S24" s="26">
        <f t="shared" si="6"/>
        <v>-6956.2800000000007</v>
      </c>
      <c r="T24" s="26">
        <f t="shared" si="6"/>
        <v>4540.2199999999993</v>
      </c>
      <c r="U24" s="26">
        <f t="shared" si="6"/>
        <v>6217.2599999999993</v>
      </c>
      <c r="V24" s="26">
        <f t="shared" si="6"/>
        <v>17706</v>
      </c>
      <c r="W24" s="26">
        <f t="shared" si="6"/>
        <v>32121</v>
      </c>
      <c r="X24" s="26">
        <f t="shared" si="6"/>
        <v>59053</v>
      </c>
      <c r="Y24" s="26">
        <f t="shared" si="6"/>
        <v>93956</v>
      </c>
      <c r="Z24" s="26">
        <f t="shared" si="6"/>
        <v>4323</v>
      </c>
      <c r="AA24" s="26">
        <f t="shared" si="6"/>
        <v>5410</v>
      </c>
      <c r="AB24" s="26">
        <f t="shared" si="6"/>
        <v>-1697</v>
      </c>
      <c r="AC24" s="26">
        <f t="shared" si="6"/>
        <v>-3523</v>
      </c>
      <c r="AD24" s="26">
        <f t="shared" si="6"/>
        <v>-1688</v>
      </c>
      <c r="AE24" s="26">
        <f t="shared" si="6"/>
        <v>-2622</v>
      </c>
      <c r="AF24" s="26">
        <f t="shared" si="6"/>
        <v>-7482</v>
      </c>
      <c r="AG24" s="26">
        <f t="shared" si="6"/>
        <v>-15168</v>
      </c>
      <c r="AH24" s="26">
        <f t="shared" si="6"/>
        <v>-4718.8900000000003</v>
      </c>
      <c r="AI24" s="26">
        <f t="shared" si="6"/>
        <v>-8014.31</v>
      </c>
      <c r="AJ24" s="26">
        <f t="shared" si="6"/>
        <v>-146587.78</v>
      </c>
      <c r="AK24" s="26">
        <f t="shared" si="6"/>
        <v>-176845.97</v>
      </c>
      <c r="AL24" s="26">
        <f t="shared" si="6"/>
        <v>523</v>
      </c>
      <c r="AM24" s="26">
        <f t="shared" si="6"/>
        <v>944</v>
      </c>
      <c r="AN24" s="26">
        <f t="shared" si="6"/>
        <v>250</v>
      </c>
      <c r="AO24" s="26">
        <f t="shared" si="6"/>
        <v>569</v>
      </c>
      <c r="AP24" s="26">
        <f t="shared" si="6"/>
        <v>-2892</v>
      </c>
      <c r="AQ24" s="26">
        <f t="shared" si="6"/>
        <v>-6440</v>
      </c>
      <c r="AR24" s="26">
        <f t="shared" si="6"/>
        <v>6837</v>
      </c>
      <c r="AS24" s="26">
        <f t="shared" si="6"/>
        <v>15352</v>
      </c>
      <c r="AT24" s="26">
        <f t="shared" si="6"/>
        <v>308</v>
      </c>
      <c r="AU24" s="26">
        <f t="shared" si="6"/>
        <v>4725</v>
      </c>
      <c r="AV24" s="26">
        <f t="shared" si="6"/>
        <v>-2333</v>
      </c>
      <c r="AW24" s="26">
        <f t="shared" si="6"/>
        <v>11568</v>
      </c>
      <c r="AX24" s="26">
        <f t="shared" si="6"/>
        <v>7596</v>
      </c>
      <c r="AY24" s="26">
        <f t="shared" si="6"/>
        <v>14748</v>
      </c>
      <c r="AZ24" s="26">
        <f t="shared" si="6"/>
        <v>9310</v>
      </c>
      <c r="BA24" s="26">
        <f t="shared" si="6"/>
        <v>30635</v>
      </c>
      <c r="BB24" s="26">
        <f t="shared" si="6"/>
        <v>9248</v>
      </c>
      <c r="BC24" s="26">
        <f t="shared" si="6"/>
        <v>36514</v>
      </c>
      <c r="BD24" s="26">
        <f t="shared" si="6"/>
        <v>3345</v>
      </c>
      <c r="BE24" s="26">
        <f t="shared" si="6"/>
        <v>15193</v>
      </c>
      <c r="BF24" s="26">
        <f t="shared" si="6"/>
        <v>-349523</v>
      </c>
      <c r="BG24" s="26">
        <f t="shared" si="6"/>
        <v>-358693</v>
      </c>
      <c r="BH24" s="26">
        <f t="shared" si="6"/>
        <v>-34744</v>
      </c>
      <c r="BI24" s="26">
        <f t="shared" si="6"/>
        <v>-69753</v>
      </c>
      <c r="BJ24" s="26">
        <f t="shared" si="6"/>
        <v>4327</v>
      </c>
      <c r="BK24" s="26">
        <f t="shared" si="6"/>
        <v>8546</v>
      </c>
      <c r="BL24" s="39">
        <f t="shared" si="3"/>
        <v>-337655.52</v>
      </c>
      <c r="BM24" s="39">
        <f t="shared" si="3"/>
        <v>-189139.52</v>
      </c>
    </row>
  </sheetData>
  <mergeCells count="32">
    <mergeCell ref="B3:C3"/>
    <mergeCell ref="D3:E3"/>
    <mergeCell ref="F3:G3"/>
    <mergeCell ref="H3:I3"/>
    <mergeCell ref="V3:W3"/>
    <mergeCell ref="X3:Y3"/>
    <mergeCell ref="Z3:AA3"/>
    <mergeCell ref="AB3:AC3"/>
    <mergeCell ref="J3:K3"/>
    <mergeCell ref="L3:M3"/>
    <mergeCell ref="N3:O3"/>
    <mergeCell ref="P3:Q3"/>
    <mergeCell ref="T3:U3"/>
    <mergeCell ref="R3:S3"/>
    <mergeCell ref="AD3:AE3"/>
    <mergeCell ref="AF3:AG3"/>
    <mergeCell ref="AH3:AI3"/>
    <mergeCell ref="AJ3:AK3"/>
    <mergeCell ref="AL3:AM3"/>
    <mergeCell ref="AN3:AO3"/>
    <mergeCell ref="AP3:AQ3"/>
    <mergeCell ref="AZ3:BA3"/>
    <mergeCell ref="BB3:BC3"/>
    <mergeCell ref="BL3:BM3"/>
    <mergeCell ref="BF3:BG3"/>
    <mergeCell ref="BH3:BI3"/>
    <mergeCell ref="BJ3:BK3"/>
    <mergeCell ref="BD3:BE3"/>
    <mergeCell ref="AT3:AU3"/>
    <mergeCell ref="AV3:AW3"/>
    <mergeCell ref="AX3:AY3"/>
    <mergeCell ref="AR3:AS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K1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3.140625" style="3" customWidth="1"/>
    <col min="2" max="63" width="16" style="3" customWidth="1"/>
    <col min="64" max="16384" width="9.140625" style="3"/>
  </cols>
  <sheetData>
    <row r="1" spans="1:63" ht="18.75" x14ac:dyDescent="0.3">
      <c r="A1" s="5" t="s">
        <v>249</v>
      </c>
    </row>
    <row r="2" spans="1:63" x14ac:dyDescent="0.25">
      <c r="A2" s="2" t="s">
        <v>98</v>
      </c>
    </row>
    <row r="3" spans="1:63" x14ac:dyDescent="0.25">
      <c r="A3" s="98" t="s">
        <v>0</v>
      </c>
      <c r="B3" s="99" t="s">
        <v>1</v>
      </c>
      <c r="C3" s="99"/>
      <c r="D3" s="99" t="s">
        <v>232</v>
      </c>
      <c r="E3" s="99"/>
      <c r="F3" s="99" t="s">
        <v>2</v>
      </c>
      <c r="G3" s="99"/>
      <c r="H3" s="99" t="s">
        <v>3</v>
      </c>
      <c r="I3" s="99"/>
      <c r="J3" s="99" t="s">
        <v>241</v>
      </c>
      <c r="K3" s="99"/>
      <c r="L3" s="99" t="s">
        <v>233</v>
      </c>
      <c r="M3" s="99"/>
      <c r="N3" s="99" t="s">
        <v>246</v>
      </c>
      <c r="O3" s="99"/>
      <c r="P3" s="99" t="s">
        <v>5</v>
      </c>
      <c r="Q3" s="99"/>
      <c r="R3" s="99" t="s">
        <v>4</v>
      </c>
      <c r="S3" s="99"/>
      <c r="T3" s="99" t="s">
        <v>6</v>
      </c>
      <c r="U3" s="99"/>
      <c r="V3" s="99" t="s">
        <v>7</v>
      </c>
      <c r="W3" s="99"/>
      <c r="X3" s="99" t="s">
        <v>8</v>
      </c>
      <c r="Y3" s="99"/>
      <c r="Z3" s="99" t="s">
        <v>9</v>
      </c>
      <c r="AA3" s="99"/>
      <c r="AB3" s="99" t="s">
        <v>240</v>
      </c>
      <c r="AC3" s="99"/>
      <c r="AD3" s="99" t="s">
        <v>10</v>
      </c>
      <c r="AE3" s="99"/>
      <c r="AF3" s="99" t="s">
        <v>11</v>
      </c>
      <c r="AG3" s="99"/>
      <c r="AH3" s="99" t="s">
        <v>234</v>
      </c>
      <c r="AI3" s="99"/>
      <c r="AJ3" s="99" t="s">
        <v>12</v>
      </c>
      <c r="AK3" s="99"/>
      <c r="AL3" s="99" t="s">
        <v>235</v>
      </c>
      <c r="AM3" s="99"/>
      <c r="AN3" s="99" t="s">
        <v>300</v>
      </c>
      <c r="AO3" s="99"/>
      <c r="AP3" s="99" t="s">
        <v>236</v>
      </c>
      <c r="AQ3" s="99"/>
      <c r="AR3" s="99" t="s">
        <v>239</v>
      </c>
      <c r="AS3" s="99"/>
      <c r="AT3" s="99" t="s">
        <v>13</v>
      </c>
      <c r="AU3" s="99"/>
      <c r="AV3" s="99" t="s">
        <v>14</v>
      </c>
      <c r="AW3" s="99"/>
      <c r="AX3" s="99" t="s">
        <v>15</v>
      </c>
      <c r="AY3" s="99"/>
      <c r="AZ3" s="99" t="s">
        <v>16</v>
      </c>
      <c r="BA3" s="99"/>
      <c r="BB3" s="99" t="s">
        <v>17</v>
      </c>
      <c r="BC3" s="99"/>
      <c r="BD3" s="99" t="s">
        <v>237</v>
      </c>
      <c r="BE3" s="99"/>
      <c r="BF3" s="99" t="s">
        <v>238</v>
      </c>
      <c r="BG3" s="99"/>
      <c r="BH3" s="99" t="s">
        <v>18</v>
      </c>
      <c r="BI3" s="99"/>
      <c r="BJ3" s="99" t="s">
        <v>19</v>
      </c>
      <c r="BK3" s="99"/>
    </row>
    <row r="4" spans="1:63" ht="30" x14ac:dyDescent="0.25">
      <c r="A4" s="98"/>
      <c r="B4" s="34" t="s">
        <v>298</v>
      </c>
      <c r="C4" s="35" t="s">
        <v>299</v>
      </c>
      <c r="D4" s="34" t="s">
        <v>298</v>
      </c>
      <c r="E4" s="35" t="s">
        <v>299</v>
      </c>
      <c r="F4" s="34" t="s">
        <v>298</v>
      </c>
      <c r="G4" s="35" t="s">
        <v>299</v>
      </c>
      <c r="H4" s="34" t="s">
        <v>298</v>
      </c>
      <c r="I4" s="35" t="s">
        <v>299</v>
      </c>
      <c r="J4" s="34" t="s">
        <v>298</v>
      </c>
      <c r="K4" s="35" t="s">
        <v>299</v>
      </c>
      <c r="L4" s="34" t="s">
        <v>298</v>
      </c>
      <c r="M4" s="35" t="s">
        <v>299</v>
      </c>
      <c r="N4" s="34" t="s">
        <v>298</v>
      </c>
      <c r="O4" s="35" t="s">
        <v>299</v>
      </c>
      <c r="P4" s="34" t="s">
        <v>298</v>
      </c>
      <c r="Q4" s="35" t="s">
        <v>299</v>
      </c>
      <c r="R4" s="34" t="s">
        <v>298</v>
      </c>
      <c r="S4" s="35" t="s">
        <v>299</v>
      </c>
      <c r="T4" s="34" t="s">
        <v>298</v>
      </c>
      <c r="U4" s="35" t="s">
        <v>299</v>
      </c>
      <c r="V4" s="34" t="s">
        <v>298</v>
      </c>
      <c r="W4" s="35" t="s">
        <v>299</v>
      </c>
      <c r="X4" s="34" t="s">
        <v>298</v>
      </c>
      <c r="Y4" s="35" t="s">
        <v>299</v>
      </c>
      <c r="Z4" s="34" t="s">
        <v>298</v>
      </c>
      <c r="AA4" s="35" t="s">
        <v>299</v>
      </c>
      <c r="AB4" s="34" t="s">
        <v>298</v>
      </c>
      <c r="AC4" s="35" t="s">
        <v>299</v>
      </c>
      <c r="AD4" s="34" t="s">
        <v>298</v>
      </c>
      <c r="AE4" s="35" t="s">
        <v>299</v>
      </c>
      <c r="AF4" s="34" t="s">
        <v>298</v>
      </c>
      <c r="AG4" s="35" t="s">
        <v>299</v>
      </c>
      <c r="AH4" s="34" t="s">
        <v>298</v>
      </c>
      <c r="AI4" s="35" t="s">
        <v>299</v>
      </c>
      <c r="AJ4" s="34" t="s">
        <v>298</v>
      </c>
      <c r="AK4" s="35" t="s">
        <v>299</v>
      </c>
      <c r="AL4" s="34" t="s">
        <v>298</v>
      </c>
      <c r="AM4" s="35" t="s">
        <v>299</v>
      </c>
      <c r="AN4" s="34" t="s">
        <v>298</v>
      </c>
      <c r="AO4" s="35" t="s">
        <v>299</v>
      </c>
      <c r="AP4" s="34" t="s">
        <v>298</v>
      </c>
      <c r="AQ4" s="35" t="s">
        <v>299</v>
      </c>
      <c r="AR4" s="34" t="s">
        <v>298</v>
      </c>
      <c r="AS4" s="35" t="s">
        <v>299</v>
      </c>
      <c r="AT4" s="34" t="s">
        <v>298</v>
      </c>
      <c r="AU4" s="35" t="s">
        <v>299</v>
      </c>
      <c r="AV4" s="34" t="s">
        <v>298</v>
      </c>
      <c r="AW4" s="35" t="s">
        <v>299</v>
      </c>
      <c r="AX4" s="34" t="s">
        <v>298</v>
      </c>
      <c r="AY4" s="35" t="s">
        <v>299</v>
      </c>
      <c r="AZ4" s="34" t="s">
        <v>298</v>
      </c>
      <c r="BA4" s="35" t="s">
        <v>299</v>
      </c>
      <c r="BB4" s="34" t="s">
        <v>298</v>
      </c>
      <c r="BC4" s="35" t="s">
        <v>299</v>
      </c>
      <c r="BD4" s="34" t="s">
        <v>298</v>
      </c>
      <c r="BE4" s="35" t="s">
        <v>299</v>
      </c>
      <c r="BF4" s="34" t="s">
        <v>298</v>
      </c>
      <c r="BG4" s="35" t="s">
        <v>299</v>
      </c>
      <c r="BH4" s="34" t="s">
        <v>298</v>
      </c>
      <c r="BI4" s="35" t="s">
        <v>299</v>
      </c>
      <c r="BJ4" s="34" t="s">
        <v>298</v>
      </c>
      <c r="BK4" s="35" t="s">
        <v>299</v>
      </c>
    </row>
    <row r="5" spans="1:63" x14ac:dyDescent="0.25">
      <c r="A5" s="24" t="s">
        <v>314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</row>
    <row r="6" spans="1:63" x14ac:dyDescent="0.25">
      <c r="A6" s="24" t="s">
        <v>250</v>
      </c>
      <c r="B6" s="24"/>
      <c r="C6" s="24"/>
      <c r="D6" s="24"/>
      <c r="E6" s="24"/>
      <c r="F6" s="24"/>
      <c r="G6" s="24"/>
      <c r="H6" s="24">
        <v>12230</v>
      </c>
      <c r="I6" s="24">
        <v>23620</v>
      </c>
      <c r="J6" s="24"/>
      <c r="K6" s="24"/>
      <c r="L6" s="24">
        <v>2735</v>
      </c>
      <c r="M6" s="24">
        <v>4707</v>
      </c>
      <c r="N6" s="24">
        <v>13984</v>
      </c>
      <c r="O6" s="24">
        <v>25780</v>
      </c>
      <c r="P6" s="24"/>
      <c r="Q6" s="24"/>
      <c r="R6" s="24">
        <v>1796.91</v>
      </c>
      <c r="S6" s="24">
        <v>2746.94</v>
      </c>
      <c r="T6" s="24">
        <v>2310.42</v>
      </c>
      <c r="U6" s="24">
        <v>7174.43</v>
      </c>
      <c r="V6" s="24">
        <v>10729</v>
      </c>
      <c r="W6" s="24">
        <v>17871</v>
      </c>
      <c r="X6" s="24">
        <v>31366</v>
      </c>
      <c r="Y6" s="24">
        <v>56058</v>
      </c>
      <c r="Z6" s="24">
        <v>18244</v>
      </c>
      <c r="AA6" s="24">
        <v>31746</v>
      </c>
      <c r="AB6" s="24">
        <v>812</v>
      </c>
      <c r="AC6" s="24">
        <v>1620</v>
      </c>
      <c r="AD6" s="24">
        <v>2397.0300000000002</v>
      </c>
      <c r="AE6" s="24">
        <v>4565.8</v>
      </c>
      <c r="AF6" s="24">
        <v>1446</v>
      </c>
      <c r="AG6" s="24">
        <v>3344</v>
      </c>
      <c r="AH6" s="24"/>
      <c r="AI6" s="24"/>
      <c r="AJ6" s="24">
        <v>19810.05</v>
      </c>
      <c r="AK6" s="24">
        <v>36659.089999999997</v>
      </c>
      <c r="AL6" s="24">
        <v>209</v>
      </c>
      <c r="AM6" s="24">
        <v>669</v>
      </c>
      <c r="AN6" s="24"/>
      <c r="AO6" s="24"/>
      <c r="AP6" s="24">
        <v>88.94</v>
      </c>
      <c r="AQ6" s="24">
        <v>166.59</v>
      </c>
      <c r="AR6" s="24">
        <v>7191</v>
      </c>
      <c r="AS6" s="24">
        <v>12529</v>
      </c>
      <c r="AT6" s="24">
        <v>13161.33324</v>
      </c>
      <c r="AU6" s="24">
        <v>21767.700099999998</v>
      </c>
      <c r="AV6" s="24">
        <v>6225.73</v>
      </c>
      <c r="AW6" s="24">
        <v>12469.17</v>
      </c>
      <c r="AX6" s="24">
        <v>3667</v>
      </c>
      <c r="AY6" s="24">
        <v>6576</v>
      </c>
      <c r="AZ6" s="24"/>
      <c r="BA6" s="24"/>
      <c r="BB6" s="24">
        <v>8368</v>
      </c>
      <c r="BC6" s="24">
        <v>15118</v>
      </c>
      <c r="BD6" s="24">
        <v>21220</v>
      </c>
      <c r="BE6" s="24">
        <v>39352</v>
      </c>
      <c r="BF6" s="24">
        <v>74.55</v>
      </c>
      <c r="BG6" s="24">
        <v>117.2</v>
      </c>
      <c r="BH6" s="24">
        <v>21646.042357099999</v>
      </c>
      <c r="BI6" s="24">
        <v>39898.721901500001</v>
      </c>
      <c r="BJ6" s="24">
        <v>1395.22</v>
      </c>
      <c r="BK6" s="24">
        <v>2575.79</v>
      </c>
    </row>
    <row r="7" spans="1:63" x14ac:dyDescent="0.25">
      <c r="A7" s="24" t="s">
        <v>314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</row>
    <row r="8" spans="1:63" x14ac:dyDescent="0.25">
      <c r="A8" s="24" t="s">
        <v>251</v>
      </c>
      <c r="B8" s="24"/>
      <c r="C8" s="24"/>
      <c r="D8" s="24"/>
      <c r="E8" s="24"/>
      <c r="F8" s="24"/>
      <c r="G8" s="24"/>
      <c r="H8" s="24">
        <v>58276</v>
      </c>
      <c r="I8" s="24">
        <v>107047</v>
      </c>
      <c r="J8" s="24"/>
      <c r="K8" s="24"/>
      <c r="L8" s="24">
        <v>59971</v>
      </c>
      <c r="M8" s="24">
        <v>107560</v>
      </c>
      <c r="N8" s="24">
        <v>47451</v>
      </c>
      <c r="O8" s="24">
        <v>87226</v>
      </c>
      <c r="P8" s="24"/>
      <c r="Q8" s="24"/>
      <c r="R8" s="24">
        <v>3763.68</v>
      </c>
      <c r="S8" s="24">
        <v>6036.91</v>
      </c>
      <c r="T8" s="24">
        <v>13823.32</v>
      </c>
      <c r="U8" s="24">
        <v>30103.03</v>
      </c>
      <c r="V8" s="24">
        <v>56014</v>
      </c>
      <c r="W8" s="24">
        <v>95116</v>
      </c>
      <c r="X8" s="24">
        <v>69187</v>
      </c>
      <c r="Y8" s="24">
        <v>137887</v>
      </c>
      <c r="Z8" s="24">
        <v>31955</v>
      </c>
      <c r="AA8" s="24">
        <v>56966</v>
      </c>
      <c r="AB8" s="24">
        <v>5824</v>
      </c>
      <c r="AC8" s="24">
        <v>9663</v>
      </c>
      <c r="AD8" s="24">
        <v>12992.77</v>
      </c>
      <c r="AE8" s="24">
        <v>22302.01</v>
      </c>
      <c r="AF8" s="24">
        <v>28916</v>
      </c>
      <c r="AG8" s="24">
        <v>52673</v>
      </c>
      <c r="AH8" s="24"/>
      <c r="AI8" s="24"/>
      <c r="AJ8" s="24">
        <v>58807.74</v>
      </c>
      <c r="AK8" s="24">
        <v>107232.02</v>
      </c>
      <c r="AL8" s="24">
        <v>562</v>
      </c>
      <c r="AM8" s="24">
        <v>887</v>
      </c>
      <c r="AN8" s="24"/>
      <c r="AO8" s="24"/>
      <c r="AP8" s="24">
        <v>2813.09</v>
      </c>
      <c r="AQ8" s="24">
        <v>5037.6499999999996</v>
      </c>
      <c r="AR8" s="24">
        <v>45135</v>
      </c>
      <c r="AS8" s="24">
        <v>77718</v>
      </c>
      <c r="AT8" s="24">
        <v>22511.683369999999</v>
      </c>
      <c r="AU8" s="24">
        <v>37261.305269999997</v>
      </c>
      <c r="AV8" s="24">
        <v>23598.35</v>
      </c>
      <c r="AW8" s="24">
        <v>49151.43</v>
      </c>
      <c r="AX8" s="24">
        <v>40301</v>
      </c>
      <c r="AY8" s="24">
        <v>67002</v>
      </c>
      <c r="AZ8" s="24"/>
      <c r="BA8" s="24"/>
      <c r="BB8" s="24">
        <v>72739</v>
      </c>
      <c r="BC8" s="24">
        <v>132297</v>
      </c>
      <c r="BD8" s="24">
        <v>119563</v>
      </c>
      <c r="BE8" s="24">
        <v>215394</v>
      </c>
      <c r="BF8" s="24">
        <v>544.38</v>
      </c>
      <c r="BG8" s="24">
        <v>1006.76</v>
      </c>
      <c r="BH8" s="24">
        <v>78726.308572900001</v>
      </c>
      <c r="BI8" s="24">
        <v>145042.6779985</v>
      </c>
      <c r="BJ8" s="24">
        <v>25180.240000000002</v>
      </c>
      <c r="BK8" s="24">
        <v>44064.54</v>
      </c>
    </row>
    <row r="9" spans="1:63" x14ac:dyDescent="0.25">
      <c r="A9" s="24" t="s">
        <v>315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</row>
    <row r="10" spans="1:63" s="4" customFormat="1" x14ac:dyDescent="0.25">
      <c r="A10" s="26" t="s">
        <v>252</v>
      </c>
      <c r="B10" s="26"/>
      <c r="C10" s="26">
        <f>SUM(C6,C8)</f>
        <v>0</v>
      </c>
      <c r="D10" s="26">
        <f t="shared" ref="D10:BK10" si="0">SUM(D6,D8)</f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 t="shared" si="0"/>
        <v>70506</v>
      </c>
      <c r="I10" s="26">
        <f t="shared" si="0"/>
        <v>130667</v>
      </c>
      <c r="J10" s="26">
        <f t="shared" si="0"/>
        <v>0</v>
      </c>
      <c r="K10" s="26">
        <f t="shared" si="0"/>
        <v>0</v>
      </c>
      <c r="L10" s="26">
        <f t="shared" si="0"/>
        <v>62706</v>
      </c>
      <c r="M10" s="26">
        <f t="shared" si="0"/>
        <v>112267</v>
      </c>
      <c r="N10" s="26">
        <f t="shared" si="0"/>
        <v>61435</v>
      </c>
      <c r="O10" s="26">
        <f t="shared" si="0"/>
        <v>113006</v>
      </c>
      <c r="P10" s="26">
        <f t="shared" si="0"/>
        <v>0</v>
      </c>
      <c r="Q10" s="26">
        <f t="shared" si="0"/>
        <v>0</v>
      </c>
      <c r="R10" s="26">
        <f t="shared" si="0"/>
        <v>5560.59</v>
      </c>
      <c r="S10" s="26">
        <f t="shared" si="0"/>
        <v>8783.85</v>
      </c>
      <c r="T10" s="26">
        <f t="shared" si="0"/>
        <v>16133.74</v>
      </c>
      <c r="U10" s="26">
        <f t="shared" si="0"/>
        <v>37277.46</v>
      </c>
      <c r="V10" s="26">
        <f t="shared" si="0"/>
        <v>66743</v>
      </c>
      <c r="W10" s="26">
        <f t="shared" si="0"/>
        <v>112987</v>
      </c>
      <c r="X10" s="26">
        <f t="shared" si="0"/>
        <v>100553</v>
      </c>
      <c r="Y10" s="26">
        <f t="shared" si="0"/>
        <v>193945</v>
      </c>
      <c r="Z10" s="26">
        <f t="shared" si="0"/>
        <v>50199</v>
      </c>
      <c r="AA10" s="26">
        <f t="shared" si="0"/>
        <v>88712</v>
      </c>
      <c r="AB10" s="26">
        <f t="shared" si="0"/>
        <v>6636</v>
      </c>
      <c r="AC10" s="26">
        <f t="shared" si="0"/>
        <v>11283</v>
      </c>
      <c r="AD10" s="26">
        <f t="shared" si="0"/>
        <v>15389.800000000001</v>
      </c>
      <c r="AE10" s="26">
        <f t="shared" si="0"/>
        <v>26867.809999999998</v>
      </c>
      <c r="AF10" s="26">
        <f t="shared" si="0"/>
        <v>30362</v>
      </c>
      <c r="AG10" s="26">
        <f t="shared" si="0"/>
        <v>56017</v>
      </c>
      <c r="AH10" s="26">
        <f t="shared" si="0"/>
        <v>0</v>
      </c>
      <c r="AI10" s="26">
        <f t="shared" si="0"/>
        <v>0</v>
      </c>
      <c r="AJ10" s="26">
        <f t="shared" si="0"/>
        <v>78617.789999999994</v>
      </c>
      <c r="AK10" s="26">
        <f t="shared" si="0"/>
        <v>143891.10999999999</v>
      </c>
      <c r="AL10" s="26">
        <f t="shared" si="0"/>
        <v>771</v>
      </c>
      <c r="AM10" s="26">
        <f t="shared" si="0"/>
        <v>1556</v>
      </c>
      <c r="AN10" s="26">
        <f t="shared" si="0"/>
        <v>0</v>
      </c>
      <c r="AO10" s="26">
        <f t="shared" si="0"/>
        <v>0</v>
      </c>
      <c r="AP10" s="26">
        <f t="shared" si="0"/>
        <v>2902.03</v>
      </c>
      <c r="AQ10" s="26">
        <f t="shared" si="0"/>
        <v>5204.24</v>
      </c>
      <c r="AR10" s="26">
        <f t="shared" si="0"/>
        <v>52326</v>
      </c>
      <c r="AS10" s="26">
        <f t="shared" si="0"/>
        <v>90247</v>
      </c>
      <c r="AT10" s="26">
        <f t="shared" si="0"/>
        <v>35673.016609999999</v>
      </c>
      <c r="AU10" s="26">
        <f t="shared" si="0"/>
        <v>59029.005369999999</v>
      </c>
      <c r="AV10" s="26">
        <f t="shared" si="0"/>
        <v>29824.079999999998</v>
      </c>
      <c r="AW10" s="26">
        <f t="shared" si="0"/>
        <v>61620.6</v>
      </c>
      <c r="AX10" s="26">
        <f t="shared" si="0"/>
        <v>43968</v>
      </c>
      <c r="AY10" s="26">
        <f t="shared" si="0"/>
        <v>73578</v>
      </c>
      <c r="AZ10" s="26">
        <f t="shared" si="0"/>
        <v>0</v>
      </c>
      <c r="BA10" s="26">
        <f t="shared" si="0"/>
        <v>0</v>
      </c>
      <c r="BB10" s="26">
        <f t="shared" si="0"/>
        <v>81107</v>
      </c>
      <c r="BC10" s="26">
        <f t="shared" si="0"/>
        <v>147415</v>
      </c>
      <c r="BD10" s="26">
        <f t="shared" si="0"/>
        <v>140783</v>
      </c>
      <c r="BE10" s="26">
        <f t="shared" si="0"/>
        <v>254746</v>
      </c>
      <c r="BF10" s="26">
        <f t="shared" si="0"/>
        <v>618.92999999999995</v>
      </c>
      <c r="BG10" s="26">
        <f t="shared" si="0"/>
        <v>1123.96</v>
      </c>
      <c r="BH10" s="26">
        <f t="shared" si="0"/>
        <v>100372.35093</v>
      </c>
      <c r="BI10" s="26">
        <f t="shared" si="0"/>
        <v>184941.39990000002</v>
      </c>
      <c r="BJ10" s="26">
        <f t="shared" si="0"/>
        <v>26575.460000000003</v>
      </c>
      <c r="BK10" s="26">
        <f t="shared" si="0"/>
        <v>46640.33</v>
      </c>
    </row>
    <row r="11" spans="1:63" s="4" customFormat="1" x14ac:dyDescent="0.25">
      <c r="A11" s="26" t="s">
        <v>253</v>
      </c>
      <c r="B11" s="26"/>
      <c r="C11" s="26"/>
      <c r="D11" s="26"/>
      <c r="E11" s="26"/>
      <c r="F11" s="26"/>
      <c r="G11" s="26"/>
      <c r="H11" s="26">
        <v>54680</v>
      </c>
      <c r="I11" s="26">
        <v>101097</v>
      </c>
      <c r="J11" s="26"/>
      <c r="K11" s="26"/>
      <c r="L11" s="26">
        <v>38989</v>
      </c>
      <c r="M11" s="26">
        <v>71512</v>
      </c>
      <c r="N11" s="26">
        <v>31221</v>
      </c>
      <c r="O11" s="26">
        <v>55108</v>
      </c>
      <c r="P11" s="26"/>
      <c r="Q11" s="26"/>
      <c r="R11" s="26">
        <v>3894.4</v>
      </c>
      <c r="S11" s="26">
        <v>6548.07</v>
      </c>
      <c r="T11" s="26">
        <v>18288.189999999999</v>
      </c>
      <c r="U11" s="26">
        <v>35519.379999999997</v>
      </c>
      <c r="V11" s="26">
        <v>53825</v>
      </c>
      <c r="W11" s="26">
        <v>91279</v>
      </c>
      <c r="X11" s="26">
        <v>92213</v>
      </c>
      <c r="Y11" s="26">
        <v>176980</v>
      </c>
      <c r="Z11" s="26">
        <v>45081</v>
      </c>
      <c r="AA11" s="26">
        <v>79805</v>
      </c>
      <c r="AB11" s="26">
        <v>6388</v>
      </c>
      <c r="AC11" s="26">
        <v>11813</v>
      </c>
      <c r="AD11" s="26">
        <v>17326.740000000002</v>
      </c>
      <c r="AE11" s="26">
        <v>30838.26</v>
      </c>
      <c r="AF11" s="26">
        <v>15081</v>
      </c>
      <c r="AG11" s="26">
        <v>29758</v>
      </c>
      <c r="AH11" s="26"/>
      <c r="AI11" s="26"/>
      <c r="AJ11" s="26">
        <v>38018.629999999997</v>
      </c>
      <c r="AK11" s="26">
        <v>68705.94</v>
      </c>
      <c r="AL11" s="26">
        <v>59</v>
      </c>
      <c r="AM11" s="26">
        <v>183</v>
      </c>
      <c r="AN11" s="26"/>
      <c r="AO11" s="26"/>
      <c r="AP11" s="26">
        <v>8003.84</v>
      </c>
      <c r="AQ11" s="26">
        <v>13945.75</v>
      </c>
      <c r="AR11" s="26">
        <v>39385</v>
      </c>
      <c r="AS11" s="26">
        <v>73291</v>
      </c>
      <c r="AT11" s="26">
        <v>24153.74813</v>
      </c>
      <c r="AU11" s="26">
        <v>45206.939760000001</v>
      </c>
      <c r="AV11" s="26">
        <v>24696.35</v>
      </c>
      <c r="AW11" s="26">
        <v>51822.28</v>
      </c>
      <c r="AX11" s="26">
        <v>11161</v>
      </c>
      <c r="AY11" s="26">
        <v>18457</v>
      </c>
      <c r="AZ11" s="26"/>
      <c r="BA11" s="26"/>
      <c r="BB11" s="26">
        <v>66984</v>
      </c>
      <c r="BC11" s="26">
        <v>122319</v>
      </c>
      <c r="BD11" s="26">
        <v>74790</v>
      </c>
      <c r="BE11" s="26">
        <v>132850</v>
      </c>
      <c r="BF11" s="26">
        <v>216.54</v>
      </c>
      <c r="BG11" s="26">
        <v>397.04</v>
      </c>
      <c r="BH11" s="26">
        <v>37775.845089599999</v>
      </c>
      <c r="BI11" s="26">
        <v>69128.457541199998</v>
      </c>
      <c r="BJ11" s="26">
        <v>28166.85</v>
      </c>
      <c r="BK11" s="26">
        <v>52850.95</v>
      </c>
    </row>
    <row r="12" spans="1:63" s="4" customFormat="1" x14ac:dyDescent="0.25">
      <c r="A12" s="26" t="s">
        <v>254</v>
      </c>
      <c r="B12" s="26"/>
      <c r="C12" s="26"/>
      <c r="D12" s="26"/>
      <c r="E12" s="26"/>
      <c r="F12" s="26"/>
      <c r="G12" s="26"/>
      <c r="H12" s="26">
        <v>473107</v>
      </c>
      <c r="I12" s="26">
        <v>783123</v>
      </c>
      <c r="J12" s="26"/>
      <c r="K12" s="26"/>
      <c r="L12" s="26">
        <v>147378</v>
      </c>
      <c r="M12" s="26">
        <v>276408</v>
      </c>
      <c r="N12" s="26">
        <v>143680</v>
      </c>
      <c r="O12" s="26">
        <v>296610</v>
      </c>
      <c r="P12" s="26"/>
      <c r="Q12" s="26"/>
      <c r="R12" s="26">
        <v>15840.7</v>
      </c>
      <c r="S12" s="26">
        <v>26905.279999999999</v>
      </c>
      <c r="T12" s="26">
        <v>105494.96</v>
      </c>
      <c r="U12" s="26">
        <v>192094.88</v>
      </c>
      <c r="V12" s="26">
        <v>492870</v>
      </c>
      <c r="W12" s="26">
        <v>800205</v>
      </c>
      <c r="X12" s="26">
        <v>518479</v>
      </c>
      <c r="Y12" s="26">
        <v>1055510</v>
      </c>
      <c r="Z12" s="26">
        <v>241836</v>
      </c>
      <c r="AA12" s="26">
        <v>454771</v>
      </c>
      <c r="AB12" s="26">
        <v>28249</v>
      </c>
      <c r="AC12" s="26">
        <v>50001</v>
      </c>
      <c r="AD12" s="26">
        <v>45236.46</v>
      </c>
      <c r="AE12" s="26">
        <v>90876.59</v>
      </c>
      <c r="AF12" s="26">
        <v>59157</v>
      </c>
      <c r="AG12" s="26">
        <v>113207</v>
      </c>
      <c r="AH12" s="26"/>
      <c r="AI12" s="26"/>
      <c r="AJ12" s="26">
        <v>477546</v>
      </c>
      <c r="AK12" s="26">
        <v>789901.48</v>
      </c>
      <c r="AL12" s="26">
        <v>1588</v>
      </c>
      <c r="AM12" s="26">
        <v>3730</v>
      </c>
      <c r="AN12" s="26"/>
      <c r="AO12" s="26"/>
      <c r="AP12" s="26">
        <v>13611.69</v>
      </c>
      <c r="AQ12" s="26">
        <v>24780.75</v>
      </c>
      <c r="AR12" s="26">
        <v>318415</v>
      </c>
      <c r="AS12" s="26">
        <v>565856</v>
      </c>
      <c r="AT12" s="26">
        <v>82099.901800000007</v>
      </c>
      <c r="AU12" s="26">
        <v>155039.98509</v>
      </c>
      <c r="AV12" s="26">
        <v>323672.73</v>
      </c>
      <c r="AW12" s="26">
        <v>498710.86</v>
      </c>
      <c r="AX12" s="26">
        <v>58986</v>
      </c>
      <c r="AY12" s="26">
        <v>99133</v>
      </c>
      <c r="AZ12" s="26"/>
      <c r="BA12" s="26"/>
      <c r="BB12" s="26">
        <v>303769</v>
      </c>
      <c r="BC12" s="26">
        <v>595302</v>
      </c>
      <c r="BD12" s="26">
        <v>784397</v>
      </c>
      <c r="BE12" s="26">
        <v>1719786</v>
      </c>
      <c r="BF12" s="26">
        <v>4364.3900000000003</v>
      </c>
      <c r="BG12" s="26">
        <v>8003.96</v>
      </c>
      <c r="BH12" s="26">
        <v>447618.26812989998</v>
      </c>
      <c r="BI12" s="26">
        <v>878741.19832980004</v>
      </c>
      <c r="BJ12" s="26">
        <v>125266.33</v>
      </c>
      <c r="BK12" s="26">
        <v>208086.18</v>
      </c>
    </row>
  </sheetData>
  <mergeCells count="32">
    <mergeCell ref="A3:A4"/>
    <mergeCell ref="BD3:BE3"/>
    <mergeCell ref="BF3:BG3"/>
    <mergeCell ref="BH3:BI3"/>
    <mergeCell ref="BJ3:BK3"/>
    <mergeCell ref="AF3:AG3"/>
    <mergeCell ref="AH3:AI3"/>
    <mergeCell ref="AJ3:AK3"/>
    <mergeCell ref="AL3:AM3"/>
    <mergeCell ref="AN3:AO3"/>
    <mergeCell ref="AP3:AQ3"/>
    <mergeCell ref="N3:O3"/>
    <mergeCell ref="P3:Q3"/>
    <mergeCell ref="X3:Y3"/>
    <mergeCell ref="Z3:AA3"/>
    <mergeCell ref="AB3:AC3"/>
    <mergeCell ref="BB3:BC3"/>
    <mergeCell ref="AD3:AE3"/>
    <mergeCell ref="B3:C3"/>
    <mergeCell ref="D3:E3"/>
    <mergeCell ref="F3:G3"/>
    <mergeCell ref="H3:I3"/>
    <mergeCell ref="J3:K3"/>
    <mergeCell ref="L3:M3"/>
    <mergeCell ref="V3:W3"/>
    <mergeCell ref="T3:U3"/>
    <mergeCell ref="R3:S3"/>
    <mergeCell ref="AR3:AS3"/>
    <mergeCell ref="AT3:AU3"/>
    <mergeCell ref="AV3:AW3"/>
    <mergeCell ref="AX3:AY3"/>
    <mergeCell ref="AZ3:B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6.28515625" style="3" customWidth="1"/>
    <col min="2" max="32" width="16" style="3" customWidth="1"/>
    <col min="33" max="33" width="16" style="4" customWidth="1"/>
    <col min="34" max="16384" width="9.140625" style="3"/>
  </cols>
  <sheetData>
    <row r="1" spans="1:33" ht="18.75" x14ac:dyDescent="0.3">
      <c r="A1" s="5" t="s">
        <v>310</v>
      </c>
    </row>
    <row r="2" spans="1:33" x14ac:dyDescent="0.25">
      <c r="A2" s="2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  <c r="AG3" s="43" t="s">
        <v>20</v>
      </c>
    </row>
    <row r="4" spans="1:33" x14ac:dyDescent="0.25">
      <c r="A4" s="38" t="s">
        <v>194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39"/>
    </row>
    <row r="5" spans="1:33" x14ac:dyDescent="0.25">
      <c r="A5" s="36" t="s">
        <v>195</v>
      </c>
      <c r="B5" s="24">
        <v>214600</v>
      </c>
      <c r="C5" s="24">
        <v>45687</v>
      </c>
      <c r="D5" s="24">
        <v>20000</v>
      </c>
      <c r="E5" s="24">
        <v>11023</v>
      </c>
      <c r="F5" s="24">
        <v>94073</v>
      </c>
      <c r="G5" s="24">
        <v>29881</v>
      </c>
      <c r="H5" s="24">
        <v>87223</v>
      </c>
      <c r="I5" s="24">
        <v>395000</v>
      </c>
      <c r="J5" s="24">
        <v>59800</v>
      </c>
      <c r="K5" s="24">
        <v>90480.37</v>
      </c>
      <c r="L5" s="24">
        <v>71278</v>
      </c>
      <c r="M5" s="24">
        <v>49110</v>
      </c>
      <c r="N5" s="24">
        <v>28025</v>
      </c>
      <c r="O5" s="24">
        <v>60500</v>
      </c>
      <c r="P5" s="24">
        <v>108623</v>
      </c>
      <c r="Q5" s="24">
        <v>21102</v>
      </c>
      <c r="R5" s="24">
        <v>119757.96</v>
      </c>
      <c r="S5" s="24">
        <v>937500</v>
      </c>
      <c r="T5" s="24">
        <v>49579</v>
      </c>
      <c r="U5" s="24">
        <v>146400</v>
      </c>
      <c r="V5" s="24">
        <v>30811</v>
      </c>
      <c r="W5" s="24">
        <v>25198</v>
      </c>
      <c r="X5" s="24">
        <v>44900</v>
      </c>
      <c r="Y5" s="24">
        <v>21562</v>
      </c>
      <c r="Z5" s="24">
        <v>25916</v>
      </c>
      <c r="AA5" s="24">
        <v>57821</v>
      </c>
      <c r="AB5" s="24">
        <v>99446</v>
      </c>
      <c r="AC5" s="24">
        <v>82400</v>
      </c>
      <c r="AD5" s="24">
        <v>462000</v>
      </c>
      <c r="AE5" s="24">
        <v>390500</v>
      </c>
      <c r="AF5" s="24">
        <v>36818</v>
      </c>
      <c r="AG5" s="44">
        <f t="shared" ref="AG5:AG12" si="0">SUM(B5:AF5)</f>
        <v>3917014.33</v>
      </c>
    </row>
    <row r="6" spans="1:33" x14ac:dyDescent="0.25">
      <c r="A6" s="36" t="s">
        <v>196</v>
      </c>
      <c r="B6" s="24">
        <v>1939</v>
      </c>
      <c r="C6" s="24">
        <v>164612</v>
      </c>
      <c r="D6" s="24">
        <v>552559</v>
      </c>
      <c r="E6" s="24">
        <v>887768</v>
      </c>
      <c r="F6" s="24">
        <v>64852</v>
      </c>
      <c r="G6" s="24">
        <v>173579</v>
      </c>
      <c r="H6" s="24">
        <v>238128</v>
      </c>
      <c r="I6" s="24">
        <v>454298.28</v>
      </c>
      <c r="J6" s="24"/>
      <c r="K6" s="24">
        <v>39420.65</v>
      </c>
      <c r="L6" s="24">
        <v>312063</v>
      </c>
      <c r="M6" s="24">
        <v>933045</v>
      </c>
      <c r="N6" s="24">
        <v>300995</v>
      </c>
      <c r="O6" s="24"/>
      <c r="P6" s="24">
        <v>74812</v>
      </c>
      <c r="Q6" s="24">
        <v>67105</v>
      </c>
      <c r="R6" s="24">
        <v>38918.519999999997</v>
      </c>
      <c r="S6" s="24">
        <v>1459.28</v>
      </c>
      <c r="T6" s="24"/>
      <c r="U6" s="24">
        <v>22892</v>
      </c>
      <c r="V6" s="24">
        <v>16903</v>
      </c>
      <c r="W6" s="24">
        <v>220401</v>
      </c>
      <c r="X6" s="24">
        <v>103095</v>
      </c>
      <c r="Y6" s="24">
        <v>277394</v>
      </c>
      <c r="Z6" s="24">
        <v>204602</v>
      </c>
      <c r="AA6" s="24">
        <v>574777</v>
      </c>
      <c r="AB6" s="24">
        <v>280923</v>
      </c>
      <c r="AC6" s="24">
        <v>1836569</v>
      </c>
      <c r="AD6" s="24">
        <v>26</v>
      </c>
      <c r="AE6" s="24">
        <v>13464</v>
      </c>
      <c r="AF6" s="24">
        <v>81843</v>
      </c>
      <c r="AG6" s="44">
        <f t="shared" si="0"/>
        <v>7938442.7299999995</v>
      </c>
    </row>
    <row r="7" spans="1:33" ht="15" customHeight="1" x14ac:dyDescent="0.25">
      <c r="A7" s="36" t="s">
        <v>295</v>
      </c>
      <c r="B7" s="24">
        <v>3</v>
      </c>
      <c r="C7" s="24">
        <v>23</v>
      </c>
      <c r="D7" s="24">
        <v>367</v>
      </c>
      <c r="E7" s="24">
        <v>5015</v>
      </c>
      <c r="F7" s="24">
        <v>-222</v>
      </c>
      <c r="G7" s="24">
        <v>294</v>
      </c>
      <c r="H7" s="24">
        <v>8231</v>
      </c>
      <c r="I7" s="24">
        <v>34833.85</v>
      </c>
      <c r="J7" s="24">
        <v>175</v>
      </c>
      <c r="K7" s="24">
        <v>39.700000000000003</v>
      </c>
      <c r="L7" s="24">
        <v>749</v>
      </c>
      <c r="M7" s="24">
        <v>12459</v>
      </c>
      <c r="N7" s="24">
        <v>56</v>
      </c>
      <c r="O7" s="24"/>
      <c r="P7" s="24">
        <v>15</v>
      </c>
      <c r="Q7" s="24">
        <v>1</v>
      </c>
      <c r="R7" s="24">
        <v>2.06</v>
      </c>
      <c r="S7" s="24">
        <v>11448.18</v>
      </c>
      <c r="T7" s="24"/>
      <c r="U7" s="24">
        <v>-403</v>
      </c>
      <c r="V7" s="24">
        <v>8</v>
      </c>
      <c r="W7" s="24">
        <v>315</v>
      </c>
      <c r="X7" s="24">
        <v>935</v>
      </c>
      <c r="Y7" s="24">
        <v>1666</v>
      </c>
      <c r="Z7" s="24">
        <v>-2217</v>
      </c>
      <c r="AA7" s="24">
        <v>1134</v>
      </c>
      <c r="AB7" s="24">
        <v>13264</v>
      </c>
      <c r="AC7" s="24">
        <v>549529</v>
      </c>
      <c r="AD7" s="24">
        <v>-93627</v>
      </c>
      <c r="AE7" s="24">
        <v>15857</v>
      </c>
      <c r="AF7" s="24">
        <v>33</v>
      </c>
      <c r="AG7" s="44">
        <f t="shared" si="0"/>
        <v>559983.79</v>
      </c>
    </row>
    <row r="8" spans="1:33" ht="15" customHeight="1" x14ac:dyDescent="0.25">
      <c r="A8" s="36" t="s">
        <v>296</v>
      </c>
      <c r="B8" s="24">
        <v>2</v>
      </c>
      <c r="C8" s="24">
        <v>7</v>
      </c>
      <c r="D8" s="24">
        <v>1368</v>
      </c>
      <c r="E8" s="24">
        <v>12048</v>
      </c>
      <c r="F8" s="24">
        <v>-65</v>
      </c>
      <c r="G8" s="24">
        <v>2137</v>
      </c>
      <c r="H8" s="24">
        <v>-138</v>
      </c>
      <c r="I8" s="24">
        <v>34833.85</v>
      </c>
      <c r="J8" s="24">
        <v>96</v>
      </c>
      <c r="K8" s="24">
        <v>139.29</v>
      </c>
      <c r="L8" s="24">
        <v>2918</v>
      </c>
      <c r="M8" s="24">
        <v>38650</v>
      </c>
      <c r="N8" s="24">
        <v>191</v>
      </c>
      <c r="O8" s="24"/>
      <c r="P8" s="24">
        <v>44</v>
      </c>
      <c r="Q8" s="24">
        <v>7</v>
      </c>
      <c r="R8" s="24">
        <v>2.57</v>
      </c>
      <c r="S8" s="24">
        <v>288623.25</v>
      </c>
      <c r="T8" s="24"/>
      <c r="U8" s="24">
        <v>10</v>
      </c>
      <c r="V8" s="24">
        <v>34</v>
      </c>
      <c r="W8" s="24">
        <v>1614</v>
      </c>
      <c r="X8" s="24">
        <v>4795</v>
      </c>
      <c r="Y8" s="24">
        <v>2</v>
      </c>
      <c r="Z8" s="24"/>
      <c r="AA8" s="24">
        <v>1678</v>
      </c>
      <c r="AB8" s="24">
        <v>69339</v>
      </c>
      <c r="AC8" s="24">
        <v>1381203</v>
      </c>
      <c r="AD8" s="24">
        <v>764786</v>
      </c>
      <c r="AE8" s="24">
        <v>354632</v>
      </c>
      <c r="AF8" s="24">
        <v>102</v>
      </c>
      <c r="AG8" s="44">
        <f t="shared" si="0"/>
        <v>2959058.96</v>
      </c>
    </row>
    <row r="9" spans="1:33" s="9" customFormat="1" x14ac:dyDescent="0.25">
      <c r="A9" s="45" t="s">
        <v>297</v>
      </c>
      <c r="B9" s="25">
        <f>B7+B8</f>
        <v>5</v>
      </c>
      <c r="C9" s="25">
        <f t="shared" ref="C9:AF9" si="1">C7+C8</f>
        <v>30</v>
      </c>
      <c r="D9" s="25">
        <f t="shared" si="1"/>
        <v>1735</v>
      </c>
      <c r="E9" s="25">
        <f t="shared" si="1"/>
        <v>17063</v>
      </c>
      <c r="F9" s="25">
        <f t="shared" si="1"/>
        <v>-287</v>
      </c>
      <c r="G9" s="25">
        <f t="shared" si="1"/>
        <v>2431</v>
      </c>
      <c r="H9" s="25">
        <f t="shared" si="1"/>
        <v>8093</v>
      </c>
      <c r="I9" s="25">
        <f t="shared" si="1"/>
        <v>69667.7</v>
      </c>
      <c r="J9" s="25">
        <f t="shared" si="1"/>
        <v>271</v>
      </c>
      <c r="K9" s="25">
        <f t="shared" si="1"/>
        <v>178.99</v>
      </c>
      <c r="L9" s="25">
        <f t="shared" si="1"/>
        <v>3667</v>
      </c>
      <c r="M9" s="25">
        <f t="shared" si="1"/>
        <v>51109</v>
      </c>
      <c r="N9" s="25">
        <f t="shared" si="1"/>
        <v>247</v>
      </c>
      <c r="O9" s="25">
        <f t="shared" si="1"/>
        <v>0</v>
      </c>
      <c r="P9" s="25">
        <f t="shared" si="1"/>
        <v>59</v>
      </c>
      <c r="Q9" s="25">
        <f t="shared" si="1"/>
        <v>8</v>
      </c>
      <c r="R9" s="25">
        <f t="shared" si="1"/>
        <v>4.63</v>
      </c>
      <c r="S9" s="25">
        <f t="shared" si="1"/>
        <v>300071.43</v>
      </c>
      <c r="T9" s="25">
        <f t="shared" si="1"/>
        <v>0</v>
      </c>
      <c r="U9" s="25">
        <f t="shared" ref="U9" si="2">U7+U8</f>
        <v>-393</v>
      </c>
      <c r="V9" s="25">
        <f t="shared" si="1"/>
        <v>42</v>
      </c>
      <c r="W9" s="25">
        <f t="shared" si="1"/>
        <v>1929</v>
      </c>
      <c r="X9" s="25">
        <f t="shared" si="1"/>
        <v>5730</v>
      </c>
      <c r="Y9" s="25">
        <f t="shared" si="1"/>
        <v>1668</v>
      </c>
      <c r="Z9" s="25">
        <f t="shared" si="1"/>
        <v>-2217</v>
      </c>
      <c r="AA9" s="25">
        <f t="shared" si="1"/>
        <v>2812</v>
      </c>
      <c r="AB9" s="25">
        <f t="shared" si="1"/>
        <v>82603</v>
      </c>
      <c r="AC9" s="25">
        <f t="shared" si="1"/>
        <v>1930732</v>
      </c>
      <c r="AD9" s="25">
        <f t="shared" si="1"/>
        <v>671159</v>
      </c>
      <c r="AE9" s="25">
        <f t="shared" si="1"/>
        <v>370489</v>
      </c>
      <c r="AF9" s="25">
        <f t="shared" si="1"/>
        <v>135</v>
      </c>
      <c r="AG9" s="46">
        <f t="shared" si="0"/>
        <v>3519042.75</v>
      </c>
    </row>
    <row r="10" spans="1:33" x14ac:dyDescent="0.25">
      <c r="A10" s="36" t="s">
        <v>197</v>
      </c>
      <c r="B10" s="24"/>
      <c r="C10" s="24"/>
      <c r="D10" s="24"/>
      <c r="E10" s="24"/>
      <c r="F10" s="24"/>
      <c r="G10" s="24">
        <v>10000</v>
      </c>
      <c r="H10" s="24"/>
      <c r="I10" s="24"/>
      <c r="J10" s="24"/>
      <c r="K10" s="24"/>
      <c r="L10" s="24">
        <v>52900</v>
      </c>
      <c r="M10" s="24">
        <v>3500</v>
      </c>
      <c r="N10" s="24"/>
      <c r="O10" s="24"/>
      <c r="P10" s="24"/>
      <c r="Q10" s="24">
        <v>10013</v>
      </c>
      <c r="R10" s="24">
        <v>11100</v>
      </c>
      <c r="S10" s="24">
        <v>89500</v>
      </c>
      <c r="T10" s="24"/>
      <c r="U10" s="24">
        <v>25000</v>
      </c>
      <c r="V10" s="24"/>
      <c r="W10" s="24">
        <v>23000</v>
      </c>
      <c r="X10" s="24">
        <v>12600</v>
      </c>
      <c r="Y10" s="24"/>
      <c r="Z10" s="24"/>
      <c r="AA10" s="24">
        <v>52000</v>
      </c>
      <c r="AB10" s="24">
        <v>18500</v>
      </c>
      <c r="AC10" s="24"/>
      <c r="AD10" s="24">
        <v>75000</v>
      </c>
      <c r="AE10" s="24">
        <v>90000</v>
      </c>
      <c r="AF10" s="24"/>
      <c r="AG10" s="44">
        <f t="shared" si="0"/>
        <v>473113</v>
      </c>
    </row>
    <row r="11" spans="1:33" x14ac:dyDescent="0.25">
      <c r="A11" s="36" t="s">
        <v>31</v>
      </c>
      <c r="B11" s="24">
        <f>B12-B10-B9-B6-B5</f>
        <v>0</v>
      </c>
      <c r="C11" s="24">
        <f t="shared" ref="C11:AF11" si="3">C12-C10-C9-C6-C5</f>
        <v>0</v>
      </c>
      <c r="D11" s="24">
        <f t="shared" si="3"/>
        <v>-1</v>
      </c>
      <c r="E11" s="24">
        <f t="shared" si="3"/>
        <v>0</v>
      </c>
      <c r="F11" s="24">
        <f t="shared" si="3"/>
        <v>697</v>
      </c>
      <c r="G11" s="24">
        <f t="shared" si="3"/>
        <v>0</v>
      </c>
      <c r="H11" s="24">
        <f t="shared" si="3"/>
        <v>-1</v>
      </c>
      <c r="I11" s="24">
        <f t="shared" si="3"/>
        <v>0</v>
      </c>
      <c r="J11" s="24">
        <f t="shared" si="3"/>
        <v>0</v>
      </c>
      <c r="K11" s="24">
        <f t="shared" si="3"/>
        <v>3899.4800000000105</v>
      </c>
      <c r="L11" s="24">
        <f t="shared" si="3"/>
        <v>0</v>
      </c>
      <c r="M11" s="24">
        <f t="shared" si="3"/>
        <v>0</v>
      </c>
      <c r="N11" s="24">
        <f t="shared" si="3"/>
        <v>49996</v>
      </c>
      <c r="O11" s="24">
        <f t="shared" si="3"/>
        <v>0</v>
      </c>
      <c r="P11" s="24">
        <f t="shared" si="3"/>
        <v>0</v>
      </c>
      <c r="Q11" s="24">
        <f t="shared" si="3"/>
        <v>503</v>
      </c>
      <c r="R11" s="24">
        <f t="shared" si="3"/>
        <v>0</v>
      </c>
      <c r="S11" s="24">
        <f t="shared" si="3"/>
        <v>0</v>
      </c>
      <c r="T11" s="24">
        <f t="shared" si="3"/>
        <v>0</v>
      </c>
      <c r="U11" s="24">
        <f t="shared" ref="U11" si="4">U12-U10-U9-U6-U5</f>
        <v>52</v>
      </c>
      <c r="V11" s="24">
        <f t="shared" si="3"/>
        <v>0</v>
      </c>
      <c r="W11" s="24">
        <f t="shared" si="3"/>
        <v>1</v>
      </c>
      <c r="X11" s="24">
        <f t="shared" si="3"/>
        <v>-1</v>
      </c>
      <c r="Y11" s="24">
        <f t="shared" si="3"/>
        <v>112</v>
      </c>
      <c r="Z11" s="24">
        <f t="shared" si="3"/>
        <v>0</v>
      </c>
      <c r="AA11" s="24">
        <f t="shared" si="3"/>
        <v>18800</v>
      </c>
      <c r="AB11" s="24">
        <f t="shared" si="3"/>
        <v>0</v>
      </c>
      <c r="AC11" s="24">
        <f t="shared" si="3"/>
        <v>0</v>
      </c>
      <c r="AD11" s="24">
        <f t="shared" si="3"/>
        <v>0</v>
      </c>
      <c r="AE11" s="24">
        <f t="shared" si="3"/>
        <v>0</v>
      </c>
      <c r="AF11" s="24">
        <f t="shared" si="3"/>
        <v>1</v>
      </c>
      <c r="AG11" s="44">
        <f t="shared" si="0"/>
        <v>74058.48000000001</v>
      </c>
    </row>
    <row r="12" spans="1:33" s="4" customFormat="1" x14ac:dyDescent="0.25">
      <c r="A12" s="38" t="s">
        <v>40</v>
      </c>
      <c r="B12" s="26">
        <v>216544</v>
      </c>
      <c r="C12" s="26">
        <v>210329</v>
      </c>
      <c r="D12" s="26">
        <v>574293</v>
      </c>
      <c r="E12" s="26">
        <v>915854</v>
      </c>
      <c r="F12" s="26">
        <v>159335</v>
      </c>
      <c r="G12" s="26">
        <v>215891</v>
      </c>
      <c r="H12" s="26">
        <v>333443</v>
      </c>
      <c r="I12" s="26">
        <v>918965.98</v>
      </c>
      <c r="J12" s="26">
        <v>60071</v>
      </c>
      <c r="K12" s="26">
        <v>133979.49</v>
      </c>
      <c r="L12" s="26">
        <v>439908</v>
      </c>
      <c r="M12" s="26">
        <v>1036764</v>
      </c>
      <c r="N12" s="26">
        <v>379263</v>
      </c>
      <c r="O12" s="26">
        <v>60500</v>
      </c>
      <c r="P12" s="26">
        <v>183494</v>
      </c>
      <c r="Q12" s="26">
        <v>98731</v>
      </c>
      <c r="R12" s="26">
        <v>169781.11</v>
      </c>
      <c r="S12" s="26">
        <v>1328530.71</v>
      </c>
      <c r="T12" s="26">
        <v>49579</v>
      </c>
      <c r="U12" s="26">
        <v>193951</v>
      </c>
      <c r="V12" s="26">
        <v>47756</v>
      </c>
      <c r="W12" s="26">
        <v>270529</v>
      </c>
      <c r="X12" s="26">
        <v>166324</v>
      </c>
      <c r="Y12" s="26">
        <v>300736</v>
      </c>
      <c r="Z12" s="26">
        <v>228301</v>
      </c>
      <c r="AA12" s="26">
        <v>706210</v>
      </c>
      <c r="AB12" s="26">
        <v>481472</v>
      </c>
      <c r="AC12" s="26">
        <v>3849701</v>
      </c>
      <c r="AD12" s="26">
        <v>1208185</v>
      </c>
      <c r="AE12" s="26">
        <v>864453</v>
      </c>
      <c r="AF12" s="26">
        <v>118797</v>
      </c>
      <c r="AG12" s="39">
        <f t="shared" si="0"/>
        <v>15921671.289999999</v>
      </c>
    </row>
    <row r="13" spans="1:33" s="4" customFormat="1" x14ac:dyDescent="0.25">
      <c r="A13" s="38" t="s">
        <v>198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39"/>
    </row>
    <row r="14" spans="1:33" x14ac:dyDescent="0.25">
      <c r="A14" s="36" t="s">
        <v>199</v>
      </c>
      <c r="B14" s="24">
        <v>106493</v>
      </c>
      <c r="C14" s="24">
        <v>43066</v>
      </c>
      <c r="D14" s="24">
        <v>314820</v>
      </c>
      <c r="E14" s="24">
        <v>791195</v>
      </c>
      <c r="F14" s="24">
        <v>161913</v>
      </c>
      <c r="G14" s="24">
        <v>161413</v>
      </c>
      <c r="H14" s="24">
        <v>145891</v>
      </c>
      <c r="I14" s="24">
        <v>712463.08</v>
      </c>
      <c r="J14" s="24">
        <v>9176</v>
      </c>
      <c r="K14" s="24">
        <v>127396.33</v>
      </c>
      <c r="L14" s="24">
        <v>405915</v>
      </c>
      <c r="M14" s="24">
        <v>944763</v>
      </c>
      <c r="N14" s="24">
        <v>356208</v>
      </c>
      <c r="O14" s="24">
        <v>33618</v>
      </c>
      <c r="P14" s="24">
        <v>84475</v>
      </c>
      <c r="Q14" s="24">
        <v>77822</v>
      </c>
      <c r="R14" s="24">
        <v>34599.67</v>
      </c>
      <c r="S14" s="24">
        <v>126311.03999999999</v>
      </c>
      <c r="T14" s="24">
        <v>13720</v>
      </c>
      <c r="U14" s="24">
        <v>99306</v>
      </c>
      <c r="V14" s="24">
        <v>16024</v>
      </c>
      <c r="W14" s="24">
        <v>254889</v>
      </c>
      <c r="X14" s="24">
        <v>121473</v>
      </c>
      <c r="Y14" s="24">
        <v>232101</v>
      </c>
      <c r="Z14" s="24">
        <v>138194</v>
      </c>
      <c r="AA14" s="24">
        <v>469941</v>
      </c>
      <c r="AB14" s="24">
        <v>381983</v>
      </c>
      <c r="AC14" s="24">
        <v>2178663</v>
      </c>
      <c r="AD14" s="24">
        <v>-400099</v>
      </c>
      <c r="AE14" s="24">
        <v>155885</v>
      </c>
      <c r="AF14" s="24">
        <v>89736</v>
      </c>
      <c r="AG14" s="44">
        <f t="shared" ref="AG14:AG19" si="5">SUM(B14:AF14)</f>
        <v>8389354.120000001</v>
      </c>
    </row>
    <row r="15" spans="1:33" x14ac:dyDescent="0.25">
      <c r="A15" s="36" t="s">
        <v>200</v>
      </c>
      <c r="B15" s="24">
        <v>98087</v>
      </c>
      <c r="C15" s="24">
        <v>152492</v>
      </c>
      <c r="D15" s="24">
        <v>1175227</v>
      </c>
      <c r="E15" s="24">
        <v>1790820</v>
      </c>
      <c r="F15" s="24">
        <v>285058</v>
      </c>
      <c r="G15" s="24">
        <v>1175349</v>
      </c>
      <c r="H15" s="24">
        <v>963344</v>
      </c>
      <c r="I15" s="24">
        <v>712463.08</v>
      </c>
      <c r="J15" s="24">
        <v>44757</v>
      </c>
      <c r="K15" s="24">
        <v>446969.15</v>
      </c>
      <c r="L15" s="24">
        <v>1581515</v>
      </c>
      <c r="M15" s="24">
        <v>3064860</v>
      </c>
      <c r="N15" s="24">
        <v>1216765</v>
      </c>
      <c r="O15" s="24">
        <v>115903</v>
      </c>
      <c r="P15" s="24">
        <v>259346</v>
      </c>
      <c r="Q15" s="24">
        <v>384010</v>
      </c>
      <c r="R15" s="24">
        <v>76602.880000000005</v>
      </c>
      <c r="S15" s="24">
        <v>3184460.77</v>
      </c>
      <c r="T15" s="24">
        <v>39388</v>
      </c>
      <c r="U15" s="24">
        <v>176223</v>
      </c>
      <c r="V15" s="24">
        <v>70105</v>
      </c>
      <c r="W15" s="24">
        <v>1305248</v>
      </c>
      <c r="X15" s="24">
        <v>623000</v>
      </c>
      <c r="Y15" s="24">
        <v>925678</v>
      </c>
      <c r="Z15" s="24">
        <v>965873</v>
      </c>
      <c r="AA15" s="24">
        <v>695370</v>
      </c>
      <c r="AB15" s="24">
        <v>1775735</v>
      </c>
      <c r="AC15" s="24">
        <v>5214026</v>
      </c>
      <c r="AD15" s="24">
        <v>3268195</v>
      </c>
      <c r="AE15" s="24">
        <v>3486294</v>
      </c>
      <c r="AF15" s="24">
        <v>292016</v>
      </c>
      <c r="AG15" s="44">
        <f t="shared" si="5"/>
        <v>35565179.880000003</v>
      </c>
    </row>
    <row r="16" spans="1:33" s="9" customFormat="1" x14ac:dyDescent="0.25">
      <c r="A16" s="45" t="s">
        <v>201</v>
      </c>
      <c r="B16" s="25">
        <f t="shared" ref="B16:D16" si="6">B14+B15</f>
        <v>204580</v>
      </c>
      <c r="C16" s="25">
        <f t="shared" si="6"/>
        <v>195558</v>
      </c>
      <c r="D16" s="25">
        <f t="shared" si="6"/>
        <v>1490047</v>
      </c>
      <c r="E16" s="25">
        <f>E14+E15</f>
        <v>2582015</v>
      </c>
      <c r="F16" s="25">
        <f t="shared" ref="F16:AF16" si="7">F14+F15</f>
        <v>446971</v>
      </c>
      <c r="G16" s="25">
        <f t="shared" si="7"/>
        <v>1336762</v>
      </c>
      <c r="H16" s="25">
        <f t="shared" si="7"/>
        <v>1109235</v>
      </c>
      <c r="I16" s="25">
        <f t="shared" si="7"/>
        <v>1424926.16</v>
      </c>
      <c r="J16" s="25">
        <f t="shared" si="7"/>
        <v>53933</v>
      </c>
      <c r="K16" s="25">
        <f t="shared" si="7"/>
        <v>574365.48</v>
      </c>
      <c r="L16" s="25">
        <f t="shared" si="7"/>
        <v>1987430</v>
      </c>
      <c r="M16" s="25">
        <f t="shared" si="7"/>
        <v>4009623</v>
      </c>
      <c r="N16" s="25">
        <f t="shared" si="7"/>
        <v>1572973</v>
      </c>
      <c r="O16" s="25">
        <f t="shared" si="7"/>
        <v>149521</v>
      </c>
      <c r="P16" s="25">
        <f t="shared" si="7"/>
        <v>343821</v>
      </c>
      <c r="Q16" s="25">
        <f t="shared" si="7"/>
        <v>461832</v>
      </c>
      <c r="R16" s="25">
        <f t="shared" si="7"/>
        <v>111202.55</v>
      </c>
      <c r="S16" s="25">
        <f t="shared" si="7"/>
        <v>3310771.81</v>
      </c>
      <c r="T16" s="25">
        <f t="shared" si="7"/>
        <v>53108</v>
      </c>
      <c r="U16" s="25">
        <f t="shared" ref="U16" si="8">U14+U15</f>
        <v>275529</v>
      </c>
      <c r="V16" s="25">
        <f t="shared" si="7"/>
        <v>86129</v>
      </c>
      <c r="W16" s="25">
        <f t="shared" si="7"/>
        <v>1560137</v>
      </c>
      <c r="X16" s="25">
        <f t="shared" si="7"/>
        <v>744473</v>
      </c>
      <c r="Y16" s="25">
        <f t="shared" si="7"/>
        <v>1157779</v>
      </c>
      <c r="Z16" s="25">
        <f t="shared" si="7"/>
        <v>1104067</v>
      </c>
      <c r="AA16" s="25">
        <f t="shared" si="7"/>
        <v>1165311</v>
      </c>
      <c r="AB16" s="25">
        <f t="shared" si="7"/>
        <v>2157718</v>
      </c>
      <c r="AC16" s="25">
        <f t="shared" si="7"/>
        <v>7392689</v>
      </c>
      <c r="AD16" s="25">
        <f t="shared" si="7"/>
        <v>2868096</v>
      </c>
      <c r="AE16" s="25">
        <f t="shared" si="7"/>
        <v>3642179</v>
      </c>
      <c r="AF16" s="25">
        <f t="shared" si="7"/>
        <v>381752</v>
      </c>
      <c r="AG16" s="46">
        <f t="shared" si="5"/>
        <v>43954534</v>
      </c>
    </row>
    <row r="17" spans="1:33" x14ac:dyDescent="0.25">
      <c r="A17" s="36" t="s">
        <v>202</v>
      </c>
      <c r="B17" s="24"/>
      <c r="C17" s="24"/>
      <c r="D17" s="24">
        <v>1428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56</v>
      </c>
      <c r="R17" s="24"/>
      <c r="S17" s="24">
        <v>3233.09</v>
      </c>
      <c r="T17" s="24"/>
      <c r="U17" s="24"/>
      <c r="V17" s="24"/>
      <c r="W17" s="24"/>
      <c r="X17" s="24"/>
      <c r="Y17" s="24"/>
      <c r="Z17" s="24"/>
      <c r="AA17" s="24"/>
      <c r="AB17" s="24"/>
      <c r="AC17" s="24">
        <v>32834</v>
      </c>
      <c r="AD17" s="24">
        <v>13620</v>
      </c>
      <c r="AE17" s="24">
        <v>20344</v>
      </c>
      <c r="AF17" s="24"/>
      <c r="AG17" s="44">
        <f t="shared" si="5"/>
        <v>71515.09</v>
      </c>
    </row>
    <row r="18" spans="1:33" x14ac:dyDescent="0.25">
      <c r="A18" s="36" t="s">
        <v>203</v>
      </c>
      <c r="B18" s="24">
        <v>517</v>
      </c>
      <c r="C18" s="24">
        <v>12495</v>
      </c>
      <c r="D18" s="24">
        <v>18677</v>
      </c>
      <c r="E18" s="24">
        <v>43533</v>
      </c>
      <c r="F18" s="24">
        <v>5578</v>
      </c>
      <c r="G18" s="24">
        <v>9910</v>
      </c>
      <c r="H18" s="24">
        <v>14842</v>
      </c>
      <c r="I18" s="24">
        <v>35850.86</v>
      </c>
      <c r="J18" s="24">
        <v>2364</v>
      </c>
      <c r="K18" s="24">
        <v>5726.75</v>
      </c>
      <c r="L18" s="24">
        <v>29767</v>
      </c>
      <c r="M18" s="24">
        <v>54282</v>
      </c>
      <c r="N18" s="24">
        <v>18137</v>
      </c>
      <c r="O18" s="24">
        <v>1439</v>
      </c>
      <c r="P18" s="24">
        <v>3856</v>
      </c>
      <c r="Q18" s="24">
        <v>3346</v>
      </c>
      <c r="R18" s="24">
        <v>2236.86</v>
      </c>
      <c r="S18" s="24">
        <v>54413.32</v>
      </c>
      <c r="T18" s="24">
        <v>26</v>
      </c>
      <c r="U18" s="24">
        <v>5398</v>
      </c>
      <c r="V18" s="24">
        <v>773</v>
      </c>
      <c r="W18" s="24">
        <v>9770</v>
      </c>
      <c r="X18" s="24">
        <v>2715</v>
      </c>
      <c r="Y18" s="24">
        <v>24199</v>
      </c>
      <c r="Z18" s="24">
        <v>4367</v>
      </c>
      <c r="AA18" s="24">
        <v>11356</v>
      </c>
      <c r="AB18" s="24">
        <v>32486</v>
      </c>
      <c r="AC18" s="24">
        <v>41380</v>
      </c>
      <c r="AD18" s="24">
        <v>51350</v>
      </c>
      <c r="AE18" s="24">
        <v>43041</v>
      </c>
      <c r="AF18" s="24">
        <v>3900</v>
      </c>
      <c r="AG18" s="44">
        <f t="shared" si="5"/>
        <v>547731.79</v>
      </c>
    </row>
    <row r="19" spans="1:33" x14ac:dyDescent="0.25">
      <c r="A19" s="36" t="s">
        <v>204</v>
      </c>
      <c r="B19" s="24"/>
      <c r="C19" s="24"/>
      <c r="D19" s="24">
        <v>1592</v>
      </c>
      <c r="E19" s="24">
        <v>5313</v>
      </c>
      <c r="F19" s="24">
        <v>2182</v>
      </c>
      <c r="G19" s="24">
        <v>18051</v>
      </c>
      <c r="H19" s="24"/>
      <c r="I19" s="24">
        <v>4436.0200000000004</v>
      </c>
      <c r="J19" s="24"/>
      <c r="K19" s="24">
        <v>1919.4</v>
      </c>
      <c r="L19" s="24">
        <v>5481</v>
      </c>
      <c r="M19" s="24">
        <v>37575</v>
      </c>
      <c r="N19" s="24">
        <v>2783</v>
      </c>
      <c r="O19" s="24"/>
      <c r="P19" s="24"/>
      <c r="Q19" s="24">
        <v>2720</v>
      </c>
      <c r="R19" s="24"/>
      <c r="S19" s="24"/>
      <c r="T19" s="24"/>
      <c r="U19" s="24"/>
      <c r="V19" s="24">
        <v>646</v>
      </c>
      <c r="W19" s="24">
        <v>3727</v>
      </c>
      <c r="X19" s="24">
        <v>4516</v>
      </c>
      <c r="Y19" s="24">
        <v>2231</v>
      </c>
      <c r="Z19" s="24">
        <v>2847</v>
      </c>
      <c r="AA19" s="24">
        <v>67442</v>
      </c>
      <c r="AB19" s="24">
        <v>4954</v>
      </c>
      <c r="AC19" s="24">
        <v>28531</v>
      </c>
      <c r="AD19" s="24"/>
      <c r="AE19" s="24"/>
      <c r="AF19" s="24">
        <v>1568</v>
      </c>
      <c r="AG19" s="44">
        <f t="shared" si="5"/>
        <v>198514.41999999998</v>
      </c>
    </row>
    <row r="20" spans="1:33" x14ac:dyDescent="0.25">
      <c r="A20" s="45" t="s">
        <v>205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44"/>
    </row>
    <row r="21" spans="1:33" x14ac:dyDescent="0.25">
      <c r="A21" s="36" t="s">
        <v>206</v>
      </c>
      <c r="B21" s="24">
        <v>1407</v>
      </c>
      <c r="C21" s="24">
        <v>4454</v>
      </c>
      <c r="D21" s="24">
        <v>244693</v>
      </c>
      <c r="E21" s="24">
        <v>24582</v>
      </c>
      <c r="F21" s="24">
        <v>6197</v>
      </c>
      <c r="G21" s="24">
        <v>2517</v>
      </c>
      <c r="H21" s="24">
        <v>13822</v>
      </c>
      <c r="I21" s="24">
        <v>145225.66</v>
      </c>
      <c r="J21" s="24">
        <v>1436</v>
      </c>
      <c r="K21" s="24">
        <v>4163.3100000000004</v>
      </c>
      <c r="L21" s="24">
        <v>15369</v>
      </c>
      <c r="M21" s="24">
        <v>12184</v>
      </c>
      <c r="N21" s="24">
        <v>14970</v>
      </c>
      <c r="O21" s="24">
        <v>1689</v>
      </c>
      <c r="P21" s="24">
        <v>2364</v>
      </c>
      <c r="Q21" s="24">
        <v>2443</v>
      </c>
      <c r="R21" s="24">
        <v>4175.45</v>
      </c>
      <c r="S21" s="24">
        <v>172155.14</v>
      </c>
      <c r="T21" s="24">
        <v>203</v>
      </c>
      <c r="U21" s="24">
        <v>4153</v>
      </c>
      <c r="V21" s="24">
        <v>592</v>
      </c>
      <c r="W21" s="24">
        <v>16101</v>
      </c>
      <c r="X21" s="24">
        <v>4058</v>
      </c>
      <c r="Y21" s="24">
        <v>10663</v>
      </c>
      <c r="Z21" s="24">
        <v>5845</v>
      </c>
      <c r="AA21" s="24">
        <v>30029</v>
      </c>
      <c r="AB21" s="24">
        <v>29580</v>
      </c>
      <c r="AC21" s="24">
        <v>1039974</v>
      </c>
      <c r="AD21" s="24">
        <v>290673</v>
      </c>
      <c r="AE21" s="24">
        <v>128709</v>
      </c>
      <c r="AF21" s="24">
        <v>6113</v>
      </c>
      <c r="AG21" s="44">
        <f t="shared" ref="AG21:AG30" si="9">SUM(B21:AF21)</f>
        <v>2240539.56</v>
      </c>
    </row>
    <row r="22" spans="1:33" x14ac:dyDescent="0.25">
      <c r="A22" s="36" t="s">
        <v>207</v>
      </c>
      <c r="B22" s="24">
        <v>16347</v>
      </c>
      <c r="C22" s="24">
        <v>15352</v>
      </c>
      <c r="D22" s="24">
        <v>1211301</v>
      </c>
      <c r="E22" s="24">
        <v>316009</v>
      </c>
      <c r="F22" s="24">
        <v>21150</v>
      </c>
      <c r="G22" s="24">
        <v>98188</v>
      </c>
      <c r="H22" s="24">
        <v>77959</v>
      </c>
      <c r="I22" s="24">
        <v>104430.91</v>
      </c>
      <c r="J22" s="24">
        <v>22382</v>
      </c>
      <c r="K22" s="24">
        <v>78149.63</v>
      </c>
      <c r="L22" s="24">
        <v>299687</v>
      </c>
      <c r="M22" s="24">
        <v>1276797</v>
      </c>
      <c r="N22" s="24">
        <v>165469</v>
      </c>
      <c r="O22" s="24">
        <v>12359</v>
      </c>
      <c r="P22" s="24">
        <v>33719</v>
      </c>
      <c r="Q22" s="24">
        <v>23297</v>
      </c>
      <c r="R22" s="24">
        <v>5443</v>
      </c>
      <c r="S22" s="24">
        <v>608282.13</v>
      </c>
      <c r="T22" s="24">
        <v>38663</v>
      </c>
      <c r="U22" s="24">
        <v>38800</v>
      </c>
      <c r="V22" s="24">
        <v>5887</v>
      </c>
      <c r="W22" s="24">
        <v>319477</v>
      </c>
      <c r="X22" s="24">
        <v>95480</v>
      </c>
      <c r="Y22" s="24">
        <v>198892</v>
      </c>
      <c r="Z22" s="24">
        <v>39795</v>
      </c>
      <c r="AA22" s="24">
        <v>74707</v>
      </c>
      <c r="AB22" s="24">
        <v>129748</v>
      </c>
      <c r="AC22" s="24">
        <v>992340</v>
      </c>
      <c r="AD22" s="24">
        <v>478714</v>
      </c>
      <c r="AE22" s="24">
        <v>575426</v>
      </c>
      <c r="AF22" s="24">
        <v>150894</v>
      </c>
      <c r="AG22" s="44">
        <f t="shared" si="9"/>
        <v>7525144.6699999999</v>
      </c>
    </row>
    <row r="23" spans="1:33" s="9" customFormat="1" x14ac:dyDescent="0.25">
      <c r="A23" s="45" t="s">
        <v>208</v>
      </c>
      <c r="B23" s="25">
        <f>B21+B22</f>
        <v>17754</v>
      </c>
      <c r="C23" s="25">
        <f t="shared" ref="C23:AF23" si="10">C21+C22</f>
        <v>19806</v>
      </c>
      <c r="D23" s="25">
        <f t="shared" si="10"/>
        <v>1455994</v>
      </c>
      <c r="E23" s="25">
        <f t="shared" si="10"/>
        <v>340591</v>
      </c>
      <c r="F23" s="25">
        <f t="shared" si="10"/>
        <v>27347</v>
      </c>
      <c r="G23" s="25">
        <f t="shared" si="10"/>
        <v>100705</v>
      </c>
      <c r="H23" s="25">
        <f t="shared" si="10"/>
        <v>91781</v>
      </c>
      <c r="I23" s="25">
        <f t="shared" si="10"/>
        <v>249656.57</v>
      </c>
      <c r="J23" s="25">
        <f t="shared" si="10"/>
        <v>23818</v>
      </c>
      <c r="K23" s="25">
        <f t="shared" si="10"/>
        <v>82312.94</v>
      </c>
      <c r="L23" s="25">
        <f t="shared" si="10"/>
        <v>315056</v>
      </c>
      <c r="M23" s="25">
        <f t="shared" si="10"/>
        <v>1288981</v>
      </c>
      <c r="N23" s="25">
        <f t="shared" si="10"/>
        <v>180439</v>
      </c>
      <c r="O23" s="25">
        <f t="shared" si="10"/>
        <v>14048</v>
      </c>
      <c r="P23" s="25">
        <f t="shared" si="10"/>
        <v>36083</v>
      </c>
      <c r="Q23" s="25">
        <f t="shared" si="10"/>
        <v>25740</v>
      </c>
      <c r="R23" s="25">
        <f t="shared" si="10"/>
        <v>9618.4500000000007</v>
      </c>
      <c r="S23" s="25">
        <f t="shared" si="10"/>
        <v>780437.27</v>
      </c>
      <c r="T23" s="25">
        <f t="shared" si="10"/>
        <v>38866</v>
      </c>
      <c r="U23" s="25">
        <f t="shared" ref="U23" si="11">U21+U22</f>
        <v>42953</v>
      </c>
      <c r="V23" s="25">
        <f t="shared" si="10"/>
        <v>6479</v>
      </c>
      <c r="W23" s="25">
        <f t="shared" si="10"/>
        <v>335578</v>
      </c>
      <c r="X23" s="25">
        <f t="shared" si="10"/>
        <v>99538</v>
      </c>
      <c r="Y23" s="25">
        <f t="shared" si="10"/>
        <v>209555</v>
      </c>
      <c r="Z23" s="25">
        <f t="shared" si="10"/>
        <v>45640</v>
      </c>
      <c r="AA23" s="25">
        <f t="shared" si="10"/>
        <v>104736</v>
      </c>
      <c r="AB23" s="25">
        <f t="shared" si="10"/>
        <v>159328</v>
      </c>
      <c r="AC23" s="25">
        <f t="shared" si="10"/>
        <v>2032314</v>
      </c>
      <c r="AD23" s="25">
        <f t="shared" si="10"/>
        <v>769387</v>
      </c>
      <c r="AE23" s="25">
        <f t="shared" si="10"/>
        <v>704135</v>
      </c>
      <c r="AF23" s="25">
        <f t="shared" si="10"/>
        <v>157007</v>
      </c>
      <c r="AG23" s="46">
        <f t="shared" si="9"/>
        <v>9765684.2300000004</v>
      </c>
    </row>
    <row r="24" spans="1:33" x14ac:dyDescent="0.25">
      <c r="A24" s="36" t="s">
        <v>209</v>
      </c>
      <c r="B24" s="24">
        <v>70349</v>
      </c>
      <c r="C24" s="24">
        <v>72552</v>
      </c>
      <c r="D24" s="24">
        <v>2308395</v>
      </c>
      <c r="E24" s="24">
        <v>1634598</v>
      </c>
      <c r="F24" s="24">
        <v>130947</v>
      </c>
      <c r="G24" s="24">
        <v>983393</v>
      </c>
      <c r="H24" s="24">
        <v>725400</v>
      </c>
      <c r="I24" s="24">
        <v>707608.4</v>
      </c>
      <c r="J24" s="24">
        <v>48261</v>
      </c>
      <c r="K24" s="24">
        <v>385003.04</v>
      </c>
      <c r="L24" s="24">
        <v>1402801</v>
      </c>
      <c r="M24" s="24">
        <v>3545209</v>
      </c>
      <c r="N24" s="24">
        <v>1079417</v>
      </c>
      <c r="O24" s="24">
        <v>80470</v>
      </c>
      <c r="P24" s="24">
        <v>216253</v>
      </c>
      <c r="Q24" s="24">
        <v>322412</v>
      </c>
      <c r="R24" s="24">
        <v>32778.769999999997</v>
      </c>
      <c r="S24" s="24">
        <v>2945957.79</v>
      </c>
      <c r="T24" s="24">
        <v>53910</v>
      </c>
      <c r="U24" s="24">
        <v>103330</v>
      </c>
      <c r="V24" s="24">
        <v>52268</v>
      </c>
      <c r="W24" s="24">
        <v>1385566</v>
      </c>
      <c r="X24" s="24">
        <v>554138</v>
      </c>
      <c r="Y24" s="24">
        <v>730127</v>
      </c>
      <c r="Z24" s="24">
        <v>822827</v>
      </c>
      <c r="AA24" s="24">
        <v>176575</v>
      </c>
      <c r="AB24" s="24">
        <v>1421870</v>
      </c>
      <c r="AC24" s="24">
        <v>4146609</v>
      </c>
      <c r="AD24" s="24">
        <v>2300413</v>
      </c>
      <c r="AE24" s="24">
        <v>2945673</v>
      </c>
      <c r="AF24" s="24">
        <v>296856</v>
      </c>
      <c r="AG24" s="44">
        <f t="shared" si="9"/>
        <v>31681967</v>
      </c>
    </row>
    <row r="25" spans="1:33" x14ac:dyDescent="0.25">
      <c r="A25" s="36" t="s">
        <v>58</v>
      </c>
      <c r="B25" s="24">
        <v>45120</v>
      </c>
      <c r="C25" s="24">
        <v>89490</v>
      </c>
      <c r="D25" s="24">
        <v>85049</v>
      </c>
      <c r="E25" s="24">
        <v>420999</v>
      </c>
      <c r="F25" s="24">
        <v>191796</v>
      </c>
      <c r="G25" s="24">
        <v>266144</v>
      </c>
      <c r="H25" s="24">
        <v>252734</v>
      </c>
      <c r="I25" s="24">
        <v>88295.23</v>
      </c>
      <c r="J25" s="24">
        <v>17658</v>
      </c>
      <c r="K25" s="24">
        <v>145342.04</v>
      </c>
      <c r="L25" s="24">
        <v>495025</v>
      </c>
      <c r="M25" s="24">
        <v>808488</v>
      </c>
      <c r="N25" s="24">
        <v>315652</v>
      </c>
      <c r="O25" s="24">
        <v>49726</v>
      </c>
      <c r="P25" s="24">
        <v>84360</v>
      </c>
      <c r="Q25" s="24">
        <v>90235</v>
      </c>
      <c r="R25" s="24">
        <v>54623.33</v>
      </c>
      <c r="S25" s="24">
        <v>706054.09</v>
      </c>
      <c r="T25" s="24">
        <v>17655</v>
      </c>
      <c r="U25" s="24">
        <v>128665</v>
      </c>
      <c r="V25" s="24">
        <v>24312</v>
      </c>
      <c r="W25" s="24">
        <v>253118</v>
      </c>
      <c r="X25" s="24">
        <v>130778</v>
      </c>
      <c r="Y25" s="24">
        <v>362902</v>
      </c>
      <c r="Z25" s="24">
        <v>105793</v>
      </c>
      <c r="AA25" s="24">
        <v>610745</v>
      </c>
      <c r="AB25" s="24">
        <v>451144</v>
      </c>
      <c r="AC25" s="24">
        <v>1592959</v>
      </c>
      <c r="AD25" s="24">
        <v>947313</v>
      </c>
      <c r="AE25" s="24">
        <v>863562</v>
      </c>
      <c r="AF25" s="24">
        <v>128573</v>
      </c>
      <c r="AG25" s="44">
        <f t="shared" si="9"/>
        <v>9824309.6900000013</v>
      </c>
    </row>
    <row r="26" spans="1:33" s="9" customFormat="1" x14ac:dyDescent="0.25">
      <c r="A26" s="45" t="s">
        <v>210</v>
      </c>
      <c r="B26" s="25">
        <f>B24+B25</f>
        <v>115469</v>
      </c>
      <c r="C26" s="25">
        <f t="shared" ref="C26:AF26" si="12">C24+C25</f>
        <v>162042</v>
      </c>
      <c r="D26" s="25">
        <f t="shared" si="12"/>
        <v>2393444</v>
      </c>
      <c r="E26" s="25">
        <f t="shared" si="12"/>
        <v>2055597</v>
      </c>
      <c r="F26" s="25">
        <f t="shared" si="12"/>
        <v>322743</v>
      </c>
      <c r="G26" s="25">
        <f t="shared" si="12"/>
        <v>1249537</v>
      </c>
      <c r="H26" s="25">
        <f t="shared" si="12"/>
        <v>978134</v>
      </c>
      <c r="I26" s="25">
        <f t="shared" si="12"/>
        <v>795903.63</v>
      </c>
      <c r="J26" s="25">
        <f t="shared" si="12"/>
        <v>65919</v>
      </c>
      <c r="K26" s="25">
        <f t="shared" si="12"/>
        <v>530345.07999999996</v>
      </c>
      <c r="L26" s="25">
        <f t="shared" si="12"/>
        <v>1897826</v>
      </c>
      <c r="M26" s="25">
        <f t="shared" si="12"/>
        <v>4353697</v>
      </c>
      <c r="N26" s="25">
        <f t="shared" si="12"/>
        <v>1395069</v>
      </c>
      <c r="O26" s="25">
        <f t="shared" si="12"/>
        <v>130196</v>
      </c>
      <c r="P26" s="25">
        <f t="shared" si="12"/>
        <v>300613</v>
      </c>
      <c r="Q26" s="25">
        <f t="shared" si="12"/>
        <v>412647</v>
      </c>
      <c r="R26" s="25">
        <f t="shared" si="12"/>
        <v>87402.1</v>
      </c>
      <c r="S26" s="25">
        <f t="shared" si="12"/>
        <v>3652011.88</v>
      </c>
      <c r="T26" s="25">
        <f t="shared" si="12"/>
        <v>71565</v>
      </c>
      <c r="U26" s="25">
        <f t="shared" ref="U26" si="13">U24+U25</f>
        <v>231995</v>
      </c>
      <c r="V26" s="25">
        <f t="shared" si="12"/>
        <v>76580</v>
      </c>
      <c r="W26" s="25">
        <f t="shared" si="12"/>
        <v>1638684</v>
      </c>
      <c r="X26" s="25">
        <f t="shared" si="12"/>
        <v>684916</v>
      </c>
      <c r="Y26" s="25">
        <f t="shared" si="12"/>
        <v>1093029</v>
      </c>
      <c r="Z26" s="25">
        <f t="shared" si="12"/>
        <v>928620</v>
      </c>
      <c r="AA26" s="25">
        <f t="shared" si="12"/>
        <v>787320</v>
      </c>
      <c r="AB26" s="25">
        <f t="shared" si="12"/>
        <v>1873014</v>
      </c>
      <c r="AC26" s="25">
        <f t="shared" si="12"/>
        <v>5739568</v>
      </c>
      <c r="AD26" s="25">
        <f t="shared" si="12"/>
        <v>3247726</v>
      </c>
      <c r="AE26" s="25">
        <f t="shared" si="12"/>
        <v>3809235</v>
      </c>
      <c r="AF26" s="25">
        <f t="shared" si="12"/>
        <v>425429</v>
      </c>
      <c r="AG26" s="46">
        <f t="shared" si="9"/>
        <v>41506276.689999998</v>
      </c>
    </row>
    <row r="27" spans="1:33" s="4" customFormat="1" x14ac:dyDescent="0.25">
      <c r="A27" s="38" t="s">
        <v>211</v>
      </c>
      <c r="B27" s="26">
        <f t="shared" ref="B27:AF27" si="14">B23-B26</f>
        <v>-97715</v>
      </c>
      <c r="C27" s="26">
        <f t="shared" si="14"/>
        <v>-142236</v>
      </c>
      <c r="D27" s="26">
        <f t="shared" si="14"/>
        <v>-937450</v>
      </c>
      <c r="E27" s="26">
        <f t="shared" si="14"/>
        <v>-1715006</v>
      </c>
      <c r="F27" s="26">
        <f t="shared" si="14"/>
        <v>-295396</v>
      </c>
      <c r="G27" s="26">
        <f t="shared" si="14"/>
        <v>-1148832</v>
      </c>
      <c r="H27" s="26">
        <f t="shared" si="14"/>
        <v>-886353</v>
      </c>
      <c r="I27" s="26">
        <f t="shared" si="14"/>
        <v>-546247.06000000006</v>
      </c>
      <c r="J27" s="26">
        <f t="shared" si="14"/>
        <v>-42101</v>
      </c>
      <c r="K27" s="26">
        <f t="shared" si="14"/>
        <v>-448032.13999999996</v>
      </c>
      <c r="L27" s="26">
        <f t="shared" si="14"/>
        <v>-1582770</v>
      </c>
      <c r="M27" s="26">
        <f t="shared" si="14"/>
        <v>-3064716</v>
      </c>
      <c r="N27" s="26">
        <f t="shared" si="14"/>
        <v>-1214630</v>
      </c>
      <c r="O27" s="26">
        <f t="shared" si="14"/>
        <v>-116148</v>
      </c>
      <c r="P27" s="26">
        <f t="shared" si="14"/>
        <v>-264530</v>
      </c>
      <c r="Q27" s="26">
        <f t="shared" si="14"/>
        <v>-386907</v>
      </c>
      <c r="R27" s="26">
        <f t="shared" si="14"/>
        <v>-77783.650000000009</v>
      </c>
      <c r="S27" s="26">
        <f t="shared" si="14"/>
        <v>-2871574.61</v>
      </c>
      <c r="T27" s="26">
        <f t="shared" si="14"/>
        <v>-32699</v>
      </c>
      <c r="U27" s="26">
        <f t="shared" ref="U27" si="15">U23-U26</f>
        <v>-189042</v>
      </c>
      <c r="V27" s="26">
        <f t="shared" si="14"/>
        <v>-70101</v>
      </c>
      <c r="W27" s="26">
        <f t="shared" si="14"/>
        <v>-1303106</v>
      </c>
      <c r="X27" s="26">
        <f t="shared" si="14"/>
        <v>-585378</v>
      </c>
      <c r="Y27" s="26">
        <f t="shared" si="14"/>
        <v>-883474</v>
      </c>
      <c r="Z27" s="26">
        <f t="shared" si="14"/>
        <v>-882980</v>
      </c>
      <c r="AA27" s="26">
        <f t="shared" si="14"/>
        <v>-682584</v>
      </c>
      <c r="AB27" s="26">
        <f t="shared" si="14"/>
        <v>-1713686</v>
      </c>
      <c r="AC27" s="26">
        <f t="shared" si="14"/>
        <v>-3707254</v>
      </c>
      <c r="AD27" s="26">
        <f t="shared" si="14"/>
        <v>-2478339</v>
      </c>
      <c r="AE27" s="26">
        <f t="shared" si="14"/>
        <v>-3105100</v>
      </c>
      <c r="AF27" s="26">
        <f t="shared" si="14"/>
        <v>-268422</v>
      </c>
      <c r="AG27" s="39">
        <f t="shared" si="9"/>
        <v>-31740592.460000001</v>
      </c>
    </row>
    <row r="28" spans="1:33" ht="30" x14ac:dyDescent="0.25">
      <c r="A28" s="36" t="s">
        <v>212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>
        <v>23664.240000000002</v>
      </c>
      <c r="T28" s="24"/>
      <c r="U28" s="24"/>
      <c r="V28" s="24"/>
      <c r="W28" s="24"/>
      <c r="X28" s="24"/>
      <c r="Y28" s="24"/>
      <c r="Z28" s="24"/>
      <c r="AA28" s="24"/>
      <c r="AB28" s="24"/>
      <c r="AC28" s="24">
        <v>61521</v>
      </c>
      <c r="AD28" s="24">
        <v>44571</v>
      </c>
      <c r="AE28" s="24"/>
      <c r="AF28" s="24"/>
      <c r="AG28" s="44">
        <f t="shared" si="9"/>
        <v>129756.24</v>
      </c>
    </row>
    <row r="29" spans="1:33" ht="30" x14ac:dyDescent="0.25">
      <c r="A29" s="36" t="s">
        <v>213</v>
      </c>
      <c r="B29" s="24">
        <v>109162</v>
      </c>
      <c r="C29" s="24">
        <v>144512</v>
      </c>
      <c r="D29" s="24"/>
      <c r="E29" s="24"/>
      <c r="F29" s="24"/>
      <c r="G29" s="24"/>
      <c r="H29" s="24">
        <v>95719</v>
      </c>
      <c r="I29" s="24"/>
      <c r="J29" s="24">
        <v>45875</v>
      </c>
      <c r="K29" s="24"/>
      <c r="L29" s="24"/>
      <c r="M29" s="24"/>
      <c r="N29" s="24"/>
      <c r="O29" s="24">
        <v>25688</v>
      </c>
      <c r="P29" s="24">
        <v>100347</v>
      </c>
      <c r="Q29" s="24">
        <v>17685</v>
      </c>
      <c r="R29" s="24">
        <v>134125.35</v>
      </c>
      <c r="S29" s="24">
        <v>808022.86</v>
      </c>
      <c r="T29" s="24">
        <v>29144</v>
      </c>
      <c r="U29" s="24">
        <v>102067</v>
      </c>
      <c r="V29" s="24">
        <v>30310</v>
      </c>
      <c r="W29" s="24"/>
      <c r="X29" s="24"/>
      <c r="Y29" s="24"/>
      <c r="Z29" s="24"/>
      <c r="AA29" s="24">
        <v>144686</v>
      </c>
      <c r="AB29" s="24"/>
      <c r="AC29" s="24"/>
      <c r="AD29" s="24">
        <v>708887</v>
      </c>
      <c r="AE29" s="24">
        <v>263988</v>
      </c>
      <c r="AF29" s="24"/>
      <c r="AG29" s="44">
        <f t="shared" si="9"/>
        <v>2760218.21</v>
      </c>
    </row>
    <row r="30" spans="1:33" s="4" customFormat="1" x14ac:dyDescent="0.25">
      <c r="A30" s="38" t="s">
        <v>40</v>
      </c>
      <c r="B30" s="26">
        <v>216544</v>
      </c>
      <c r="C30" s="26">
        <v>210329</v>
      </c>
      <c r="D30" s="26">
        <v>574293</v>
      </c>
      <c r="E30" s="26">
        <v>915854</v>
      </c>
      <c r="F30" s="26">
        <v>159335</v>
      </c>
      <c r="G30" s="26">
        <v>215891</v>
      </c>
      <c r="H30" s="26">
        <v>333443</v>
      </c>
      <c r="I30" s="26">
        <v>918965.98</v>
      </c>
      <c r="J30" s="26">
        <v>60071</v>
      </c>
      <c r="K30" s="26">
        <v>133979.49</v>
      </c>
      <c r="L30" s="26">
        <v>439908</v>
      </c>
      <c r="M30" s="26">
        <v>1036764</v>
      </c>
      <c r="N30" s="26">
        <v>379263</v>
      </c>
      <c r="O30" s="26">
        <v>60500</v>
      </c>
      <c r="P30" s="26">
        <v>183494</v>
      </c>
      <c r="Q30" s="26">
        <v>98731</v>
      </c>
      <c r="R30" s="26">
        <v>169781.11</v>
      </c>
      <c r="S30" s="26">
        <v>1328530.71</v>
      </c>
      <c r="T30" s="26">
        <v>49579</v>
      </c>
      <c r="U30" s="26">
        <v>193951</v>
      </c>
      <c r="V30" s="26">
        <v>47756</v>
      </c>
      <c r="W30" s="26">
        <v>270529</v>
      </c>
      <c r="X30" s="26">
        <v>166324</v>
      </c>
      <c r="Y30" s="26">
        <v>300736</v>
      </c>
      <c r="Z30" s="26">
        <v>228301</v>
      </c>
      <c r="AA30" s="26">
        <v>706210</v>
      </c>
      <c r="AB30" s="26">
        <v>481472</v>
      </c>
      <c r="AC30" s="26">
        <v>3849701</v>
      </c>
      <c r="AD30" s="26">
        <v>1208185</v>
      </c>
      <c r="AE30" s="26">
        <v>864453</v>
      </c>
      <c r="AF30" s="26">
        <v>118797</v>
      </c>
      <c r="AG30" s="39">
        <f t="shared" si="9"/>
        <v>15921671.289999999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7" style="3" bestFit="1" customWidth="1"/>
    <col min="2" max="65" width="16" style="3" customWidth="1"/>
    <col min="66" max="16384" width="9.140625" style="3"/>
  </cols>
  <sheetData>
    <row r="1" spans="1:65" ht="18.75" x14ac:dyDescent="0.3">
      <c r="A1" s="1" t="s">
        <v>193</v>
      </c>
    </row>
    <row r="2" spans="1:65" x14ac:dyDescent="0.25">
      <c r="A2" s="2" t="s">
        <v>98</v>
      </c>
    </row>
    <row r="3" spans="1:65" x14ac:dyDescent="0.25">
      <c r="A3" s="8" t="s">
        <v>182</v>
      </c>
    </row>
    <row r="4" spans="1:65" x14ac:dyDescent="0.25">
      <c r="A4" s="42" t="s">
        <v>0</v>
      </c>
      <c r="B4" s="94" t="s">
        <v>1</v>
      </c>
      <c r="C4" s="95"/>
      <c r="D4" s="94" t="s">
        <v>232</v>
      </c>
      <c r="E4" s="95"/>
      <c r="F4" s="94" t="s">
        <v>2</v>
      </c>
      <c r="G4" s="95"/>
      <c r="H4" s="94" t="s">
        <v>3</v>
      </c>
      <c r="I4" s="95"/>
      <c r="J4" s="94" t="s">
        <v>241</v>
      </c>
      <c r="K4" s="95"/>
      <c r="L4" s="94" t="s">
        <v>233</v>
      </c>
      <c r="M4" s="95"/>
      <c r="N4" s="94" t="s">
        <v>246</v>
      </c>
      <c r="O4" s="95"/>
      <c r="P4" s="94" t="s">
        <v>5</v>
      </c>
      <c r="Q4" s="95"/>
      <c r="R4" s="94" t="s">
        <v>4</v>
      </c>
      <c r="S4" s="95"/>
      <c r="T4" s="94" t="s">
        <v>6</v>
      </c>
      <c r="U4" s="95"/>
      <c r="V4" s="94" t="s">
        <v>7</v>
      </c>
      <c r="W4" s="95"/>
      <c r="X4" s="94" t="s">
        <v>8</v>
      </c>
      <c r="Y4" s="95"/>
      <c r="Z4" s="94" t="s">
        <v>9</v>
      </c>
      <c r="AA4" s="95"/>
      <c r="AB4" s="94" t="s">
        <v>240</v>
      </c>
      <c r="AC4" s="95"/>
      <c r="AD4" s="94" t="s">
        <v>10</v>
      </c>
      <c r="AE4" s="95"/>
      <c r="AF4" s="94" t="s">
        <v>11</v>
      </c>
      <c r="AG4" s="95"/>
      <c r="AH4" s="94" t="s">
        <v>234</v>
      </c>
      <c r="AI4" s="95"/>
      <c r="AJ4" s="94" t="s">
        <v>12</v>
      </c>
      <c r="AK4" s="95"/>
      <c r="AL4" s="94" t="s">
        <v>235</v>
      </c>
      <c r="AM4" s="95"/>
      <c r="AN4" s="94" t="s">
        <v>300</v>
      </c>
      <c r="AO4" s="95"/>
      <c r="AP4" s="94" t="s">
        <v>236</v>
      </c>
      <c r="AQ4" s="95"/>
      <c r="AR4" s="94" t="s">
        <v>239</v>
      </c>
      <c r="AS4" s="95"/>
      <c r="AT4" s="94" t="s">
        <v>13</v>
      </c>
      <c r="AU4" s="95"/>
      <c r="AV4" s="94" t="s">
        <v>14</v>
      </c>
      <c r="AW4" s="95"/>
      <c r="AX4" s="94" t="s">
        <v>15</v>
      </c>
      <c r="AY4" s="95"/>
      <c r="AZ4" s="94" t="s">
        <v>16</v>
      </c>
      <c r="BA4" s="95"/>
      <c r="BB4" s="94" t="s">
        <v>17</v>
      </c>
      <c r="BC4" s="95"/>
      <c r="BD4" s="94" t="s">
        <v>237</v>
      </c>
      <c r="BE4" s="95"/>
      <c r="BF4" s="94" t="s">
        <v>238</v>
      </c>
      <c r="BG4" s="95"/>
      <c r="BH4" s="94" t="s">
        <v>18</v>
      </c>
      <c r="BI4" s="95"/>
      <c r="BJ4" s="94" t="s">
        <v>19</v>
      </c>
      <c r="BK4" s="95"/>
      <c r="BL4" s="96" t="s">
        <v>20</v>
      </c>
      <c r="BM4" s="97"/>
    </row>
    <row r="5" spans="1:65" ht="30" x14ac:dyDescent="0.25">
      <c r="A5" s="42"/>
      <c r="B5" s="34" t="s">
        <v>298</v>
      </c>
      <c r="C5" s="35" t="s">
        <v>299</v>
      </c>
      <c r="D5" s="34" t="s">
        <v>298</v>
      </c>
      <c r="E5" s="35" t="s">
        <v>299</v>
      </c>
      <c r="F5" s="34" t="s">
        <v>298</v>
      </c>
      <c r="G5" s="35" t="s">
        <v>299</v>
      </c>
      <c r="H5" s="34" t="s">
        <v>298</v>
      </c>
      <c r="I5" s="35" t="s">
        <v>299</v>
      </c>
      <c r="J5" s="34" t="s">
        <v>298</v>
      </c>
      <c r="K5" s="35" t="s">
        <v>299</v>
      </c>
      <c r="L5" s="34" t="s">
        <v>298</v>
      </c>
      <c r="M5" s="35" t="s">
        <v>299</v>
      </c>
      <c r="N5" s="34" t="s">
        <v>298</v>
      </c>
      <c r="O5" s="35" t="s">
        <v>299</v>
      </c>
      <c r="P5" s="34" t="s">
        <v>298</v>
      </c>
      <c r="Q5" s="35" t="s">
        <v>299</v>
      </c>
      <c r="R5" s="34" t="s">
        <v>298</v>
      </c>
      <c r="S5" s="35" t="s">
        <v>299</v>
      </c>
      <c r="T5" s="34" t="s">
        <v>298</v>
      </c>
      <c r="U5" s="35" t="s">
        <v>299</v>
      </c>
      <c r="V5" s="34" t="s">
        <v>298</v>
      </c>
      <c r="W5" s="35" t="s">
        <v>299</v>
      </c>
      <c r="X5" s="34" t="s">
        <v>298</v>
      </c>
      <c r="Y5" s="35" t="s">
        <v>299</v>
      </c>
      <c r="Z5" s="34" t="s">
        <v>298</v>
      </c>
      <c r="AA5" s="35" t="s">
        <v>299</v>
      </c>
      <c r="AB5" s="34" t="s">
        <v>298</v>
      </c>
      <c r="AC5" s="35" t="s">
        <v>299</v>
      </c>
      <c r="AD5" s="34" t="s">
        <v>298</v>
      </c>
      <c r="AE5" s="35" t="s">
        <v>299</v>
      </c>
      <c r="AF5" s="34" t="s">
        <v>298</v>
      </c>
      <c r="AG5" s="35" t="s">
        <v>299</v>
      </c>
      <c r="AH5" s="34" t="s">
        <v>298</v>
      </c>
      <c r="AI5" s="35" t="s">
        <v>299</v>
      </c>
      <c r="AJ5" s="34" t="s">
        <v>298</v>
      </c>
      <c r="AK5" s="35" t="s">
        <v>299</v>
      </c>
      <c r="AL5" s="34" t="s">
        <v>298</v>
      </c>
      <c r="AM5" s="35" t="s">
        <v>299</v>
      </c>
      <c r="AN5" s="34" t="s">
        <v>298</v>
      </c>
      <c r="AO5" s="35" t="s">
        <v>299</v>
      </c>
      <c r="AP5" s="34" t="s">
        <v>298</v>
      </c>
      <c r="AQ5" s="35" t="s">
        <v>299</v>
      </c>
      <c r="AR5" s="34" t="s">
        <v>298</v>
      </c>
      <c r="AS5" s="35" t="s">
        <v>299</v>
      </c>
      <c r="AT5" s="34" t="s">
        <v>298</v>
      </c>
      <c r="AU5" s="35" t="s">
        <v>299</v>
      </c>
      <c r="AV5" s="34" t="s">
        <v>298</v>
      </c>
      <c r="AW5" s="35" t="s">
        <v>299</v>
      </c>
      <c r="AX5" s="34" t="s">
        <v>298</v>
      </c>
      <c r="AY5" s="35" t="s">
        <v>299</v>
      </c>
      <c r="AZ5" s="34" t="s">
        <v>298</v>
      </c>
      <c r="BA5" s="35" t="s">
        <v>299</v>
      </c>
      <c r="BB5" s="34" t="s">
        <v>298</v>
      </c>
      <c r="BC5" s="35" t="s">
        <v>299</v>
      </c>
      <c r="BD5" s="34" t="s">
        <v>298</v>
      </c>
      <c r="BE5" s="35" t="s">
        <v>299</v>
      </c>
      <c r="BF5" s="34" t="s">
        <v>298</v>
      </c>
      <c r="BG5" s="35" t="s">
        <v>299</v>
      </c>
      <c r="BH5" s="34" t="s">
        <v>298</v>
      </c>
      <c r="BI5" s="35" t="s">
        <v>299</v>
      </c>
      <c r="BJ5" s="34" t="s">
        <v>298</v>
      </c>
      <c r="BK5" s="35" t="s">
        <v>299</v>
      </c>
      <c r="BL5" s="34" t="s">
        <v>298</v>
      </c>
      <c r="BM5" s="35" t="s">
        <v>299</v>
      </c>
    </row>
    <row r="6" spans="1:65" x14ac:dyDescent="0.25">
      <c r="A6" s="24" t="s">
        <v>272</v>
      </c>
      <c r="B6" s="24"/>
      <c r="C6" s="24"/>
      <c r="D6" s="24"/>
      <c r="E6" s="24"/>
      <c r="F6" s="24"/>
      <c r="G6" s="24"/>
      <c r="H6" s="24">
        <v>44106</v>
      </c>
      <c r="I6" s="24">
        <v>116662</v>
      </c>
      <c r="J6" s="24"/>
      <c r="K6" s="24"/>
      <c r="L6" s="24">
        <v>16671</v>
      </c>
      <c r="M6" s="24">
        <v>35563</v>
      </c>
      <c r="N6" s="24">
        <v>7510</v>
      </c>
      <c r="O6" s="24">
        <v>22246</v>
      </c>
      <c r="P6" s="24"/>
      <c r="Q6" s="24"/>
      <c r="R6" s="24">
        <v>345.62</v>
      </c>
      <c r="S6" s="24">
        <v>1100.53</v>
      </c>
      <c r="T6" s="24">
        <v>8585.92</v>
      </c>
      <c r="U6" s="24">
        <v>25912.95</v>
      </c>
      <c r="V6" s="24">
        <v>39594</v>
      </c>
      <c r="W6" s="24">
        <v>99689</v>
      </c>
      <c r="X6" s="24">
        <v>59492</v>
      </c>
      <c r="Y6" s="24">
        <v>173797</v>
      </c>
      <c r="Z6" s="24">
        <v>23494</v>
      </c>
      <c r="AA6" s="24">
        <v>58444</v>
      </c>
      <c r="AB6" s="24">
        <v>1744</v>
      </c>
      <c r="AC6" s="24">
        <v>3665</v>
      </c>
      <c r="AD6" s="24">
        <v>1762</v>
      </c>
      <c r="AE6" s="24">
        <v>5498</v>
      </c>
      <c r="AF6" s="24">
        <v>6084</v>
      </c>
      <c r="AG6" s="24">
        <v>13974</v>
      </c>
      <c r="AH6" s="24"/>
      <c r="AI6" s="24"/>
      <c r="AJ6" s="24">
        <v>28880.85</v>
      </c>
      <c r="AK6" s="24">
        <v>73371.399999999994</v>
      </c>
      <c r="AL6" s="24">
        <v>-84</v>
      </c>
      <c r="AM6" s="24">
        <v>6</v>
      </c>
      <c r="AN6" s="24"/>
      <c r="AO6" s="24"/>
      <c r="AP6" s="24">
        <v>606</v>
      </c>
      <c r="AQ6" s="24">
        <v>1385</v>
      </c>
      <c r="AR6" s="24">
        <v>22322</v>
      </c>
      <c r="AS6" s="24">
        <v>70514</v>
      </c>
      <c r="AT6" s="24">
        <v>7452</v>
      </c>
      <c r="AU6" s="24">
        <v>18020</v>
      </c>
      <c r="AV6" s="24">
        <v>36434</v>
      </c>
      <c r="AW6" s="24">
        <v>80087</v>
      </c>
      <c r="AX6" s="24">
        <v>1824</v>
      </c>
      <c r="AY6" s="24">
        <v>3592</v>
      </c>
      <c r="AZ6" s="24"/>
      <c r="BA6" s="24"/>
      <c r="BB6" s="24">
        <v>40813</v>
      </c>
      <c r="BC6" s="24">
        <v>106651</v>
      </c>
      <c r="BD6" s="24"/>
      <c r="BE6" s="24">
        <v>274441</v>
      </c>
      <c r="BF6" s="24">
        <v>38822</v>
      </c>
      <c r="BG6" s="24">
        <v>103911</v>
      </c>
      <c r="BH6" s="24">
        <v>47292</v>
      </c>
      <c r="BI6" s="24">
        <v>114557</v>
      </c>
      <c r="BJ6" s="24">
        <v>3138</v>
      </c>
      <c r="BK6" s="24">
        <v>13420</v>
      </c>
      <c r="BL6" s="37">
        <f>SUM(B6+D6+F6+H6+J6+L6+N6+P6+R6+T6+V6+X6+Z6+AB6+AD6+AF6+AH6+AJ6+AL6+AN6+AP6+AR6+AT6+AV6+AX6+AZ6+BB6+BD6+BF6+BH6+BJ6)</f>
        <v>436888.39</v>
      </c>
      <c r="BM6" s="37">
        <f>SUM(C6+E6+G6+I6+K6+M6+O6+Q6+S6+U6+W6+Y6+AA6+AC6+AE6+AG6+AI6+AK6+AM6+AO6+AQ6+AS6+AU6+AW6+AY6+BA6+BC6+BE6+BG6+BI6+BK6)</f>
        <v>1416506.88</v>
      </c>
    </row>
    <row r="7" spans="1:65" x14ac:dyDescent="0.25">
      <c r="A7" s="24" t="s">
        <v>273</v>
      </c>
      <c r="B7" s="24"/>
      <c r="C7" s="24"/>
      <c r="D7" s="24"/>
      <c r="E7" s="24"/>
      <c r="F7" s="24"/>
      <c r="G7" s="24"/>
      <c r="H7" s="24">
        <v>4814</v>
      </c>
      <c r="I7" s="24">
        <v>6691</v>
      </c>
      <c r="J7" s="24"/>
      <c r="K7" s="24"/>
      <c r="L7" s="24">
        <v>1219</v>
      </c>
      <c r="M7" s="24">
        <v>2162</v>
      </c>
      <c r="N7" s="24">
        <v>3853</v>
      </c>
      <c r="O7" s="24">
        <v>18932</v>
      </c>
      <c r="P7" s="24"/>
      <c r="Q7" s="24"/>
      <c r="R7" s="24">
        <v>316</v>
      </c>
      <c r="S7" s="24">
        <v>756.06</v>
      </c>
      <c r="T7" s="24">
        <v>2084.63</v>
      </c>
      <c r="U7" s="24">
        <v>5462.74</v>
      </c>
      <c r="V7" s="24">
        <v>3382</v>
      </c>
      <c r="W7" s="24">
        <v>12271</v>
      </c>
      <c r="X7" s="24">
        <v>5135</v>
      </c>
      <c r="Y7" s="24">
        <v>12091</v>
      </c>
      <c r="Z7" s="24">
        <v>5182</v>
      </c>
      <c r="AA7" s="24">
        <v>9917</v>
      </c>
      <c r="AB7" s="24">
        <v>292</v>
      </c>
      <c r="AC7" s="24">
        <v>803</v>
      </c>
      <c r="AD7" s="24">
        <v>508</v>
      </c>
      <c r="AE7" s="24">
        <v>926</v>
      </c>
      <c r="AF7" s="24">
        <v>873</v>
      </c>
      <c r="AG7" s="24">
        <v>3575</v>
      </c>
      <c r="AH7" s="24"/>
      <c r="AI7" s="24"/>
      <c r="AJ7" s="24">
        <v>6497.03</v>
      </c>
      <c r="AK7" s="24">
        <v>10841.3</v>
      </c>
      <c r="AL7" s="24">
        <v>49</v>
      </c>
      <c r="AM7" s="24">
        <v>91</v>
      </c>
      <c r="AN7" s="24"/>
      <c r="AO7" s="24"/>
      <c r="AP7" s="24">
        <v>143</v>
      </c>
      <c r="AQ7" s="24">
        <v>430</v>
      </c>
      <c r="AR7" s="24">
        <v>1864</v>
      </c>
      <c r="AS7" s="24">
        <v>7703</v>
      </c>
      <c r="AT7" s="24">
        <v>2242</v>
      </c>
      <c r="AU7" s="24">
        <v>7542</v>
      </c>
      <c r="AV7" s="24">
        <v>454</v>
      </c>
      <c r="AW7" s="24">
        <v>956</v>
      </c>
      <c r="AX7" s="24">
        <v>21</v>
      </c>
      <c r="AY7" s="24">
        <v>322</v>
      </c>
      <c r="AZ7" s="24"/>
      <c r="BA7" s="24"/>
      <c r="BB7" s="24">
        <v>3170</v>
      </c>
      <c r="BC7" s="24">
        <v>9162</v>
      </c>
      <c r="BD7" s="24"/>
      <c r="BE7" s="24">
        <v>49759</v>
      </c>
      <c r="BF7" s="24">
        <v>6911</v>
      </c>
      <c r="BG7" s="24">
        <v>13274</v>
      </c>
      <c r="BH7" s="24">
        <v>-904</v>
      </c>
      <c r="BI7" s="24">
        <v>2643</v>
      </c>
      <c r="BJ7" s="24">
        <v>194</v>
      </c>
      <c r="BK7" s="24">
        <v>609</v>
      </c>
      <c r="BL7" s="37">
        <f t="shared" ref="BL7:BM12" si="0">SUM(B7+D7+F7+H7+J7+L7+N7+P7+R7+T7+V7+X7+Z7+AB7+AD7+AF7+AH7+AJ7+AL7+AN7+AP7+AR7+AT7+AV7+AX7+AZ7+BB7+BD7+BF7+BH7+BJ7)</f>
        <v>48299.66</v>
      </c>
      <c r="BM7" s="37">
        <f t="shared" si="0"/>
        <v>176919.1</v>
      </c>
    </row>
    <row r="8" spans="1:65" x14ac:dyDescent="0.25">
      <c r="A8" s="24" t="s">
        <v>274</v>
      </c>
      <c r="B8" s="24"/>
      <c r="C8" s="24"/>
      <c r="D8" s="24"/>
      <c r="E8" s="24"/>
      <c r="F8" s="24"/>
      <c r="G8" s="24"/>
      <c r="H8" s="24">
        <v>-40252</v>
      </c>
      <c r="I8" s="24">
        <v>-108090</v>
      </c>
      <c r="J8" s="24"/>
      <c r="K8" s="24"/>
      <c r="L8" s="24">
        <v>12112</v>
      </c>
      <c r="M8" s="24">
        <v>25495</v>
      </c>
      <c r="N8" s="24">
        <v>8925</v>
      </c>
      <c r="O8" s="24">
        <v>34612</v>
      </c>
      <c r="P8" s="24"/>
      <c r="Q8" s="24"/>
      <c r="R8" s="24">
        <v>399.09</v>
      </c>
      <c r="S8" s="24">
        <v>1336.91</v>
      </c>
      <c r="T8" s="24">
        <v>8195.11</v>
      </c>
      <c r="U8" s="24">
        <v>22855.49</v>
      </c>
      <c r="V8" s="24">
        <v>-34562</v>
      </c>
      <c r="W8" s="24">
        <v>-92924</v>
      </c>
      <c r="X8" s="24">
        <v>49424</v>
      </c>
      <c r="Y8" s="24">
        <v>150454</v>
      </c>
      <c r="Z8" s="24">
        <v>21831</v>
      </c>
      <c r="AA8" s="24">
        <v>56523</v>
      </c>
      <c r="AB8" s="24">
        <v>1382</v>
      </c>
      <c r="AC8" s="24">
        <v>3224</v>
      </c>
      <c r="AD8" s="24">
        <v>934</v>
      </c>
      <c r="AE8" s="24">
        <v>4920</v>
      </c>
      <c r="AF8" s="24">
        <v>-4743</v>
      </c>
      <c r="AG8" s="24">
        <v>-12922</v>
      </c>
      <c r="AH8" s="24"/>
      <c r="AI8" s="24"/>
      <c r="AJ8" s="24">
        <v>5826.63</v>
      </c>
      <c r="AK8" s="24">
        <v>26911.39</v>
      </c>
      <c r="AL8" s="24">
        <v>-63</v>
      </c>
      <c r="AM8" s="24">
        <v>-152</v>
      </c>
      <c r="AN8" s="24"/>
      <c r="AO8" s="24"/>
      <c r="AP8" s="24">
        <v>635</v>
      </c>
      <c r="AQ8" s="24">
        <v>1551</v>
      </c>
      <c r="AR8" s="24">
        <v>15904</v>
      </c>
      <c r="AS8" s="24">
        <v>52045</v>
      </c>
      <c r="AT8" s="24">
        <v>8051</v>
      </c>
      <c r="AU8" s="24">
        <v>21341</v>
      </c>
      <c r="AV8" s="24">
        <v>26703</v>
      </c>
      <c r="AW8" s="24">
        <v>59533</v>
      </c>
      <c r="AX8" s="24">
        <v>1091</v>
      </c>
      <c r="AY8" s="24">
        <v>2320</v>
      </c>
      <c r="AZ8" s="24"/>
      <c r="BA8" s="24"/>
      <c r="BB8" s="24">
        <v>31644</v>
      </c>
      <c r="BC8" s="24">
        <v>88422</v>
      </c>
      <c r="BD8" s="24"/>
      <c r="BE8" s="24">
        <v>183878</v>
      </c>
      <c r="BF8" s="24">
        <v>24117</v>
      </c>
      <c r="BG8" s="24">
        <v>64817</v>
      </c>
      <c r="BH8" s="24">
        <v>30954</v>
      </c>
      <c r="BI8" s="24">
        <v>70071</v>
      </c>
      <c r="BJ8" s="24">
        <v>2140</v>
      </c>
      <c r="BK8" s="24">
        <v>15076</v>
      </c>
      <c r="BL8" s="37">
        <f t="shared" si="0"/>
        <v>170647.83000000002</v>
      </c>
      <c r="BM8" s="37">
        <f t="shared" si="0"/>
        <v>671297.79</v>
      </c>
    </row>
    <row r="9" spans="1:65" s="4" customFormat="1" x14ac:dyDescent="0.25">
      <c r="A9" s="26" t="s">
        <v>275</v>
      </c>
      <c r="B9" s="26"/>
      <c r="C9" s="26"/>
      <c r="D9" s="26"/>
      <c r="E9" s="26"/>
      <c r="F9" s="26"/>
      <c r="G9" s="26"/>
      <c r="H9" s="26">
        <v>8668</v>
      </c>
      <c r="I9" s="26">
        <v>15263</v>
      </c>
      <c r="J9" s="26"/>
      <c r="K9" s="26"/>
      <c r="L9" s="26">
        <v>5779</v>
      </c>
      <c r="M9" s="26">
        <v>12230</v>
      </c>
      <c r="N9" s="26">
        <v>2438</v>
      </c>
      <c r="O9" s="26">
        <v>6566</v>
      </c>
      <c r="P9" s="26"/>
      <c r="Q9" s="26"/>
      <c r="R9" s="26">
        <v>262.52999999999997</v>
      </c>
      <c r="S9" s="26">
        <v>519.67999999999995</v>
      </c>
      <c r="T9" s="26">
        <v>2475.4499999999998</v>
      </c>
      <c r="U9" s="26">
        <v>8520.2099999999991</v>
      </c>
      <c r="V9" s="26">
        <v>8414</v>
      </c>
      <c r="W9" s="26">
        <v>19037</v>
      </c>
      <c r="X9" s="26">
        <v>15203</v>
      </c>
      <c r="Y9" s="26">
        <v>35434</v>
      </c>
      <c r="Z9" s="26">
        <v>6845</v>
      </c>
      <c r="AA9" s="26">
        <v>11838</v>
      </c>
      <c r="AB9" s="26">
        <v>654</v>
      </c>
      <c r="AC9" s="26">
        <v>1244</v>
      </c>
      <c r="AD9" s="26">
        <v>1335</v>
      </c>
      <c r="AE9" s="26">
        <v>1503</v>
      </c>
      <c r="AF9" s="26">
        <v>2214</v>
      </c>
      <c r="AG9" s="26">
        <v>4627</v>
      </c>
      <c r="AH9" s="26"/>
      <c r="AI9" s="26"/>
      <c r="AJ9" s="26">
        <v>29551.25</v>
      </c>
      <c r="AK9" s="26">
        <v>57301.31</v>
      </c>
      <c r="AL9" s="26">
        <v>-98</v>
      </c>
      <c r="AM9" s="26">
        <v>-55</v>
      </c>
      <c r="AN9" s="26"/>
      <c r="AO9" s="26"/>
      <c r="AP9" s="26">
        <v>113</v>
      </c>
      <c r="AQ9" s="26">
        <v>263</v>
      </c>
      <c r="AR9" s="26">
        <v>8282</v>
      </c>
      <c r="AS9" s="26">
        <v>26172</v>
      </c>
      <c r="AT9" s="26">
        <v>1643</v>
      </c>
      <c r="AU9" s="26">
        <v>4221</v>
      </c>
      <c r="AV9" s="26">
        <v>10184</v>
      </c>
      <c r="AW9" s="26">
        <v>21511</v>
      </c>
      <c r="AX9" s="26">
        <v>754</v>
      </c>
      <c r="AY9" s="26">
        <v>1595</v>
      </c>
      <c r="AZ9" s="26"/>
      <c r="BA9" s="26"/>
      <c r="BB9" s="26">
        <v>12339</v>
      </c>
      <c r="BC9" s="26">
        <v>27391</v>
      </c>
      <c r="BD9" s="26"/>
      <c r="BE9" s="26">
        <v>140322</v>
      </c>
      <c r="BF9" s="26">
        <v>21616</v>
      </c>
      <c r="BG9" s="26">
        <v>52368</v>
      </c>
      <c r="BH9" s="26">
        <v>15434</v>
      </c>
      <c r="BI9" s="26">
        <v>47129</v>
      </c>
      <c r="BJ9" s="26">
        <v>1192</v>
      </c>
      <c r="BK9" s="26">
        <v>-1047</v>
      </c>
      <c r="BL9" s="39">
        <f t="shared" si="0"/>
        <v>155298.22999999998</v>
      </c>
      <c r="BM9" s="39">
        <f t="shared" si="0"/>
        <v>493953.2</v>
      </c>
    </row>
    <row r="10" spans="1:65" x14ac:dyDescent="0.25">
      <c r="A10" s="24" t="s">
        <v>276</v>
      </c>
      <c r="B10" s="24"/>
      <c r="C10" s="24"/>
      <c r="D10" s="24"/>
      <c r="E10" s="24"/>
      <c r="F10" s="24"/>
      <c r="G10" s="24"/>
      <c r="H10" s="24">
        <v>32707</v>
      </c>
      <c r="I10" s="24">
        <v>31340</v>
      </c>
      <c r="J10" s="24"/>
      <c r="K10" s="24"/>
      <c r="L10" s="24">
        <v>42761</v>
      </c>
      <c r="M10" s="24">
        <v>40084</v>
      </c>
      <c r="N10" s="24">
        <v>7811</v>
      </c>
      <c r="O10" s="24">
        <v>4740</v>
      </c>
      <c r="P10" s="24"/>
      <c r="Q10" s="24"/>
      <c r="R10" s="24">
        <v>617.86</v>
      </c>
      <c r="S10" s="24">
        <v>528.26</v>
      </c>
      <c r="T10" s="24">
        <v>17724.77</v>
      </c>
      <c r="U10" s="24">
        <v>15455.8</v>
      </c>
      <c r="V10" s="24">
        <v>44868</v>
      </c>
      <c r="W10" s="24">
        <v>40539</v>
      </c>
      <c r="X10" s="24">
        <v>50436</v>
      </c>
      <c r="Y10" s="24">
        <v>45272</v>
      </c>
      <c r="Z10" s="24"/>
      <c r="AA10" s="24">
        <v>11088</v>
      </c>
      <c r="AB10" s="24">
        <v>3977</v>
      </c>
      <c r="AC10" s="24">
        <v>3816</v>
      </c>
      <c r="AD10" s="24">
        <v>4310</v>
      </c>
      <c r="AE10" s="24">
        <v>4768</v>
      </c>
      <c r="AF10" s="24">
        <v>7549</v>
      </c>
      <c r="AG10" s="24">
        <v>6193</v>
      </c>
      <c r="AH10" s="24"/>
      <c r="AI10" s="24"/>
      <c r="AJ10" s="24"/>
      <c r="AK10" s="24">
        <v>42296.79</v>
      </c>
      <c r="AL10" s="24">
        <v>12579</v>
      </c>
      <c r="AM10" s="24">
        <v>12808</v>
      </c>
      <c r="AN10" s="24"/>
      <c r="AO10" s="24"/>
      <c r="AP10" s="24">
        <v>118</v>
      </c>
      <c r="AQ10" s="24">
        <v>73</v>
      </c>
      <c r="AR10" s="24">
        <v>24290</v>
      </c>
      <c r="AS10" s="24">
        <v>16460</v>
      </c>
      <c r="AT10" s="24">
        <v>10934</v>
      </c>
      <c r="AU10" s="24">
        <v>9757</v>
      </c>
      <c r="AV10" s="24">
        <v>86182</v>
      </c>
      <c r="AW10" s="24">
        <v>83503</v>
      </c>
      <c r="AX10" s="24">
        <v>7059</v>
      </c>
      <c r="AY10" s="24">
        <v>6793</v>
      </c>
      <c r="AZ10" s="24"/>
      <c r="BA10" s="24"/>
      <c r="BB10" s="24">
        <v>56469</v>
      </c>
      <c r="BC10" s="24">
        <v>52162</v>
      </c>
      <c r="BD10" s="24"/>
      <c r="BE10" s="24">
        <v>179175</v>
      </c>
      <c r="BF10" s="24">
        <v>0</v>
      </c>
      <c r="BG10" s="24">
        <v>0</v>
      </c>
      <c r="BH10" s="24"/>
      <c r="BI10" s="24"/>
      <c r="BJ10" s="24">
        <v>7106</v>
      </c>
      <c r="BK10" s="24">
        <v>10941</v>
      </c>
      <c r="BL10" s="37">
        <f t="shared" si="0"/>
        <v>417498.63</v>
      </c>
      <c r="BM10" s="37">
        <f t="shared" si="0"/>
        <v>617792.85</v>
      </c>
    </row>
    <row r="11" spans="1:65" x14ac:dyDescent="0.25">
      <c r="A11" s="36" t="s">
        <v>277</v>
      </c>
      <c r="B11" s="24"/>
      <c r="C11" s="24"/>
      <c r="D11" s="24"/>
      <c r="E11" s="24"/>
      <c r="F11" s="24"/>
      <c r="G11" s="24"/>
      <c r="H11" s="24">
        <v>34173</v>
      </c>
      <c r="I11" s="24">
        <v>34173</v>
      </c>
      <c r="J11" s="24"/>
      <c r="K11" s="24"/>
      <c r="L11" s="24">
        <v>44113</v>
      </c>
      <c r="M11" s="24">
        <v>44113</v>
      </c>
      <c r="N11" s="24">
        <v>7921</v>
      </c>
      <c r="O11" s="24">
        <v>7921</v>
      </c>
      <c r="P11" s="24"/>
      <c r="Q11" s="24"/>
      <c r="R11" s="24">
        <v>652.62</v>
      </c>
      <c r="S11" s="24">
        <v>652.62</v>
      </c>
      <c r="T11" s="24">
        <v>16738.98</v>
      </c>
      <c r="U11" s="24">
        <v>16738.98</v>
      </c>
      <c r="V11" s="24">
        <v>-45973</v>
      </c>
      <c r="W11" s="24">
        <v>-45973</v>
      </c>
      <c r="X11" s="24">
        <v>48559</v>
      </c>
      <c r="Y11" s="24">
        <v>48559</v>
      </c>
      <c r="Z11" s="24">
        <v>2424</v>
      </c>
      <c r="AA11" s="24">
        <v>13961</v>
      </c>
      <c r="AB11" s="24">
        <v>4158</v>
      </c>
      <c r="AC11" s="24">
        <v>4158</v>
      </c>
      <c r="AD11" s="24">
        <v>4892</v>
      </c>
      <c r="AE11" s="24">
        <v>4892</v>
      </c>
      <c r="AF11" s="24">
        <v>-8243</v>
      </c>
      <c r="AG11" s="24">
        <v>-8243</v>
      </c>
      <c r="AH11" s="24"/>
      <c r="AI11" s="24"/>
      <c r="AJ11" s="24">
        <v>3348.91</v>
      </c>
      <c r="AK11" s="24">
        <v>42329.08</v>
      </c>
      <c r="AL11" s="24">
        <v>-12208</v>
      </c>
      <c r="AM11" s="24">
        <v>-12208</v>
      </c>
      <c r="AN11" s="24"/>
      <c r="AO11" s="24"/>
      <c r="AP11" s="24">
        <v>114</v>
      </c>
      <c r="AQ11" s="24">
        <v>114</v>
      </c>
      <c r="AR11" s="24">
        <v>23287</v>
      </c>
      <c r="AS11" s="24">
        <v>23287</v>
      </c>
      <c r="AT11" s="24">
        <v>10803</v>
      </c>
      <c r="AU11" s="24">
        <v>10803</v>
      </c>
      <c r="AV11" s="24">
        <v>87180</v>
      </c>
      <c r="AW11" s="24">
        <v>87180</v>
      </c>
      <c r="AX11" s="24">
        <v>6931</v>
      </c>
      <c r="AY11" s="24">
        <v>6931</v>
      </c>
      <c r="AZ11" s="24"/>
      <c r="BA11" s="24"/>
      <c r="BB11" s="24">
        <v>56789</v>
      </c>
      <c r="BC11" s="24">
        <v>56789</v>
      </c>
      <c r="BD11" s="24"/>
      <c r="BE11" s="24">
        <v>190460</v>
      </c>
      <c r="BF11" s="24">
        <v>1885</v>
      </c>
      <c r="BG11" s="24">
        <v>4803</v>
      </c>
      <c r="BH11" s="24"/>
      <c r="BI11" s="24"/>
      <c r="BJ11" s="24">
        <v>-6586</v>
      </c>
      <c r="BK11" s="24">
        <v>-6586</v>
      </c>
      <c r="BL11" s="37">
        <f t="shared" si="0"/>
        <v>280959.51</v>
      </c>
      <c r="BM11" s="37">
        <f t="shared" si="0"/>
        <v>524854.67999999993</v>
      </c>
    </row>
    <row r="12" spans="1:65" s="4" customFormat="1" x14ac:dyDescent="0.25">
      <c r="A12" s="26" t="s">
        <v>192</v>
      </c>
      <c r="B12" s="26"/>
      <c r="C12" s="26"/>
      <c r="D12" s="26"/>
      <c r="E12" s="26"/>
      <c r="F12" s="26"/>
      <c r="G12" s="26"/>
      <c r="H12" s="26">
        <v>7202</v>
      </c>
      <c r="I12" s="26">
        <v>12430</v>
      </c>
      <c r="J12" s="26"/>
      <c r="K12" s="26"/>
      <c r="L12" s="26">
        <v>4427</v>
      </c>
      <c r="M12" s="26">
        <v>8202</v>
      </c>
      <c r="N12" s="26">
        <v>2328</v>
      </c>
      <c r="O12" s="26">
        <v>3385</v>
      </c>
      <c r="P12" s="26"/>
      <c r="Q12" s="26"/>
      <c r="R12" s="26">
        <v>227.77</v>
      </c>
      <c r="S12" s="26">
        <v>395.32</v>
      </c>
      <c r="T12" s="26">
        <v>3461.24</v>
      </c>
      <c r="U12" s="26">
        <v>7237.02</v>
      </c>
      <c r="V12" s="26">
        <v>7309</v>
      </c>
      <c r="W12" s="26">
        <v>13603</v>
      </c>
      <c r="X12" s="26">
        <v>17080</v>
      </c>
      <c r="Y12" s="26">
        <v>32147</v>
      </c>
      <c r="Z12" s="26">
        <v>4421</v>
      </c>
      <c r="AA12" s="26">
        <v>8965</v>
      </c>
      <c r="AB12" s="26">
        <v>473</v>
      </c>
      <c r="AC12" s="26">
        <v>901</v>
      </c>
      <c r="AD12" s="26">
        <v>753</v>
      </c>
      <c r="AE12" s="26">
        <v>1379</v>
      </c>
      <c r="AF12" s="26">
        <v>1519</v>
      </c>
      <c r="AG12" s="26">
        <v>2578</v>
      </c>
      <c r="AH12" s="26"/>
      <c r="AI12" s="26"/>
      <c r="AJ12" s="26">
        <v>26202.34</v>
      </c>
      <c r="AK12" s="26">
        <v>57269.01</v>
      </c>
      <c r="AL12" s="26">
        <v>273</v>
      </c>
      <c r="AM12" s="26">
        <v>545</v>
      </c>
      <c r="AN12" s="26"/>
      <c r="AO12" s="26"/>
      <c r="AP12" s="26">
        <v>117</v>
      </c>
      <c r="AQ12" s="26">
        <v>222</v>
      </c>
      <c r="AR12" s="26">
        <v>9285</v>
      </c>
      <c r="AS12" s="26">
        <v>19344</v>
      </c>
      <c r="AT12" s="26">
        <v>1775</v>
      </c>
      <c r="AU12" s="26">
        <v>3176</v>
      </c>
      <c r="AV12" s="26">
        <v>9187</v>
      </c>
      <c r="AW12" s="26">
        <v>17834</v>
      </c>
      <c r="AX12" s="26">
        <v>883</v>
      </c>
      <c r="AY12" s="26">
        <v>1456</v>
      </c>
      <c r="AZ12" s="26"/>
      <c r="BA12" s="26"/>
      <c r="BB12" s="26">
        <v>12018</v>
      </c>
      <c r="BC12" s="26">
        <v>22764</v>
      </c>
      <c r="BD12" s="26"/>
      <c r="BE12" s="26">
        <v>129037</v>
      </c>
      <c r="BF12" s="26">
        <v>19732</v>
      </c>
      <c r="BG12" s="26">
        <v>47565</v>
      </c>
      <c r="BH12" s="26">
        <v>20351</v>
      </c>
      <c r="BI12" s="26">
        <v>55221</v>
      </c>
      <c r="BJ12" s="26">
        <v>1712</v>
      </c>
      <c r="BK12" s="26">
        <v>3308</v>
      </c>
      <c r="BL12" s="39">
        <f t="shared" si="0"/>
        <v>150736.35</v>
      </c>
      <c r="BM12" s="39">
        <f t="shared" si="0"/>
        <v>448963.35</v>
      </c>
    </row>
    <row r="14" spans="1:65" x14ac:dyDescent="0.25">
      <c r="A14" s="7" t="s">
        <v>183</v>
      </c>
    </row>
    <row r="15" spans="1:65" x14ac:dyDescent="0.25">
      <c r="A15" s="42" t="s">
        <v>0</v>
      </c>
      <c r="B15" s="94" t="s">
        <v>1</v>
      </c>
      <c r="C15" s="95"/>
      <c r="D15" s="94" t="s">
        <v>232</v>
      </c>
      <c r="E15" s="95"/>
      <c r="F15" s="94" t="s">
        <v>2</v>
      </c>
      <c r="G15" s="95"/>
      <c r="H15" s="94" t="s">
        <v>3</v>
      </c>
      <c r="I15" s="95"/>
      <c r="J15" s="94" t="s">
        <v>241</v>
      </c>
      <c r="K15" s="95"/>
      <c r="L15" s="94" t="s">
        <v>233</v>
      </c>
      <c r="M15" s="95"/>
      <c r="N15" s="94" t="s">
        <v>246</v>
      </c>
      <c r="O15" s="95"/>
      <c r="P15" s="94" t="s">
        <v>5</v>
      </c>
      <c r="Q15" s="95"/>
      <c r="R15" s="94" t="s">
        <v>4</v>
      </c>
      <c r="S15" s="95"/>
      <c r="T15" s="94" t="s">
        <v>6</v>
      </c>
      <c r="U15" s="95"/>
      <c r="V15" s="94" t="s">
        <v>7</v>
      </c>
      <c r="W15" s="95"/>
      <c r="X15" s="94" t="s">
        <v>8</v>
      </c>
      <c r="Y15" s="95"/>
      <c r="Z15" s="94" t="s">
        <v>9</v>
      </c>
      <c r="AA15" s="95"/>
      <c r="AB15" s="94" t="s">
        <v>240</v>
      </c>
      <c r="AC15" s="95"/>
      <c r="AD15" s="94" t="s">
        <v>10</v>
      </c>
      <c r="AE15" s="95"/>
      <c r="AF15" s="94" t="s">
        <v>11</v>
      </c>
      <c r="AG15" s="95"/>
      <c r="AH15" s="94" t="s">
        <v>234</v>
      </c>
      <c r="AI15" s="95"/>
      <c r="AJ15" s="94" t="s">
        <v>12</v>
      </c>
      <c r="AK15" s="95"/>
      <c r="AL15" s="94" t="s">
        <v>235</v>
      </c>
      <c r="AM15" s="95"/>
      <c r="AN15" s="94" t="s">
        <v>300</v>
      </c>
      <c r="AO15" s="95"/>
      <c r="AP15" s="94" t="s">
        <v>236</v>
      </c>
      <c r="AQ15" s="95"/>
      <c r="AR15" s="94" t="s">
        <v>239</v>
      </c>
      <c r="AS15" s="95"/>
      <c r="AT15" s="94" t="s">
        <v>13</v>
      </c>
      <c r="AU15" s="95"/>
      <c r="AV15" s="94" t="s">
        <v>14</v>
      </c>
      <c r="AW15" s="95"/>
      <c r="AX15" s="94" t="s">
        <v>15</v>
      </c>
      <c r="AY15" s="95"/>
      <c r="AZ15" s="94" t="s">
        <v>16</v>
      </c>
      <c r="BA15" s="95"/>
      <c r="BB15" s="94" t="s">
        <v>17</v>
      </c>
      <c r="BC15" s="95"/>
      <c r="BD15" s="94" t="s">
        <v>237</v>
      </c>
      <c r="BE15" s="95"/>
      <c r="BF15" s="94" t="s">
        <v>238</v>
      </c>
      <c r="BG15" s="95"/>
      <c r="BH15" s="94" t="s">
        <v>18</v>
      </c>
      <c r="BI15" s="95"/>
      <c r="BJ15" s="94" t="s">
        <v>19</v>
      </c>
      <c r="BK15" s="95"/>
      <c r="BL15" s="96" t="s">
        <v>20</v>
      </c>
      <c r="BM15" s="97"/>
    </row>
    <row r="16" spans="1:65" ht="30" x14ac:dyDescent="0.25">
      <c r="A16" s="42"/>
      <c r="B16" s="34" t="s">
        <v>298</v>
      </c>
      <c r="C16" s="35" t="s">
        <v>299</v>
      </c>
      <c r="D16" s="34" t="s">
        <v>298</v>
      </c>
      <c r="E16" s="35" t="s">
        <v>299</v>
      </c>
      <c r="F16" s="34" t="s">
        <v>298</v>
      </c>
      <c r="G16" s="35" t="s">
        <v>299</v>
      </c>
      <c r="H16" s="34" t="s">
        <v>298</v>
      </c>
      <c r="I16" s="35" t="s">
        <v>299</v>
      </c>
      <c r="J16" s="34" t="s">
        <v>298</v>
      </c>
      <c r="K16" s="35" t="s">
        <v>299</v>
      </c>
      <c r="L16" s="34" t="s">
        <v>298</v>
      </c>
      <c r="M16" s="35" t="s">
        <v>299</v>
      </c>
      <c r="N16" s="34" t="s">
        <v>298</v>
      </c>
      <c r="O16" s="35" t="s">
        <v>299</v>
      </c>
      <c r="P16" s="34" t="s">
        <v>298</v>
      </c>
      <c r="Q16" s="35" t="s">
        <v>299</v>
      </c>
      <c r="R16" s="34" t="s">
        <v>298</v>
      </c>
      <c r="S16" s="35" t="s">
        <v>299</v>
      </c>
      <c r="T16" s="34" t="s">
        <v>298</v>
      </c>
      <c r="U16" s="35" t="s">
        <v>299</v>
      </c>
      <c r="V16" s="34" t="s">
        <v>298</v>
      </c>
      <c r="W16" s="35" t="s">
        <v>299</v>
      </c>
      <c r="X16" s="34" t="s">
        <v>298</v>
      </c>
      <c r="Y16" s="35" t="s">
        <v>299</v>
      </c>
      <c r="Z16" s="34" t="s">
        <v>298</v>
      </c>
      <c r="AA16" s="35" t="s">
        <v>299</v>
      </c>
      <c r="AB16" s="34" t="s">
        <v>298</v>
      </c>
      <c r="AC16" s="35" t="s">
        <v>299</v>
      </c>
      <c r="AD16" s="34" t="s">
        <v>298</v>
      </c>
      <c r="AE16" s="35" t="s">
        <v>299</v>
      </c>
      <c r="AF16" s="34" t="s">
        <v>298</v>
      </c>
      <c r="AG16" s="35" t="s">
        <v>299</v>
      </c>
      <c r="AH16" s="34" t="s">
        <v>298</v>
      </c>
      <c r="AI16" s="35" t="s">
        <v>299</v>
      </c>
      <c r="AJ16" s="34" t="s">
        <v>298</v>
      </c>
      <c r="AK16" s="35" t="s">
        <v>299</v>
      </c>
      <c r="AL16" s="34" t="s">
        <v>298</v>
      </c>
      <c r="AM16" s="35" t="s">
        <v>299</v>
      </c>
      <c r="AN16" s="34" t="s">
        <v>298</v>
      </c>
      <c r="AO16" s="35" t="s">
        <v>299</v>
      </c>
      <c r="AP16" s="34" t="s">
        <v>298</v>
      </c>
      <c r="AQ16" s="35" t="s">
        <v>299</v>
      </c>
      <c r="AR16" s="34" t="s">
        <v>298</v>
      </c>
      <c r="AS16" s="35" t="s">
        <v>299</v>
      </c>
      <c r="AT16" s="34" t="s">
        <v>298</v>
      </c>
      <c r="AU16" s="35" t="s">
        <v>299</v>
      </c>
      <c r="AV16" s="34" t="s">
        <v>298</v>
      </c>
      <c r="AW16" s="35" t="s">
        <v>299</v>
      </c>
      <c r="AX16" s="34" t="s">
        <v>298</v>
      </c>
      <c r="AY16" s="35" t="s">
        <v>299</v>
      </c>
      <c r="AZ16" s="34" t="s">
        <v>298</v>
      </c>
      <c r="BA16" s="35" t="s">
        <v>299</v>
      </c>
      <c r="BB16" s="34" t="s">
        <v>298</v>
      </c>
      <c r="BC16" s="35" t="s">
        <v>299</v>
      </c>
      <c r="BD16" s="34" t="s">
        <v>298</v>
      </c>
      <c r="BE16" s="35" t="s">
        <v>299</v>
      </c>
      <c r="BF16" s="34" t="s">
        <v>298</v>
      </c>
      <c r="BG16" s="35" t="s">
        <v>299</v>
      </c>
      <c r="BH16" s="34" t="s">
        <v>298</v>
      </c>
      <c r="BI16" s="35" t="s">
        <v>299</v>
      </c>
      <c r="BJ16" s="34" t="s">
        <v>298</v>
      </c>
      <c r="BK16" s="35" t="s">
        <v>299</v>
      </c>
      <c r="BL16" s="34" t="s">
        <v>298</v>
      </c>
      <c r="BM16" s="35" t="s">
        <v>299</v>
      </c>
    </row>
    <row r="17" spans="1:65" x14ac:dyDescent="0.25">
      <c r="A17" s="24" t="s">
        <v>272</v>
      </c>
      <c r="B17" s="24"/>
      <c r="C17" s="24"/>
      <c r="D17" s="24"/>
      <c r="E17" s="24"/>
      <c r="F17" s="24"/>
      <c r="G17" s="24"/>
      <c r="H17" s="24">
        <v>7379</v>
      </c>
      <c r="I17" s="24">
        <v>15978</v>
      </c>
      <c r="J17" s="24"/>
      <c r="K17" s="24"/>
      <c r="L17" s="24">
        <v>3781</v>
      </c>
      <c r="M17" s="24">
        <v>6976</v>
      </c>
      <c r="N17" s="24">
        <v>196</v>
      </c>
      <c r="O17" s="24">
        <v>2512</v>
      </c>
      <c r="P17" s="24"/>
      <c r="Q17" s="24"/>
      <c r="R17" s="24">
        <v>19.8</v>
      </c>
      <c r="S17" s="24">
        <v>94.15</v>
      </c>
      <c r="T17" s="24">
        <v>2225.7399999999998</v>
      </c>
      <c r="U17" s="24">
        <v>5453.19</v>
      </c>
      <c r="V17" s="24">
        <v>5348</v>
      </c>
      <c r="W17" s="24">
        <v>12950</v>
      </c>
      <c r="X17" s="24">
        <v>17005</v>
      </c>
      <c r="Y17" s="24">
        <v>41772</v>
      </c>
      <c r="Z17" s="24">
        <v>7866</v>
      </c>
      <c r="AA17" s="24">
        <v>16320</v>
      </c>
      <c r="AB17" s="24">
        <v>528</v>
      </c>
      <c r="AC17" s="24">
        <v>934</v>
      </c>
      <c r="AD17" s="24">
        <v>855</v>
      </c>
      <c r="AE17" s="24">
        <v>2126</v>
      </c>
      <c r="AF17" s="24">
        <v>703</v>
      </c>
      <c r="AG17" s="24">
        <v>1402</v>
      </c>
      <c r="AH17" s="24"/>
      <c r="AI17" s="24"/>
      <c r="AJ17" s="24">
        <v>7640.47</v>
      </c>
      <c r="AK17" s="24">
        <v>13936.48</v>
      </c>
      <c r="AL17" s="24"/>
      <c r="AM17" s="24"/>
      <c r="AN17" s="24"/>
      <c r="AO17" s="24"/>
      <c r="AP17" s="24"/>
      <c r="AQ17" s="24"/>
      <c r="AR17" s="24">
        <v>2292</v>
      </c>
      <c r="AS17" s="24">
        <v>7293</v>
      </c>
      <c r="AT17" s="24">
        <v>1064</v>
      </c>
      <c r="AU17" s="24">
        <v>2799</v>
      </c>
      <c r="AV17" s="24">
        <v>2018</v>
      </c>
      <c r="AW17" s="24">
        <v>4547</v>
      </c>
      <c r="AX17" s="24">
        <v>61</v>
      </c>
      <c r="AY17" s="24">
        <v>110</v>
      </c>
      <c r="AZ17" s="24"/>
      <c r="BA17" s="24"/>
      <c r="BB17" s="24">
        <v>13274</v>
      </c>
      <c r="BC17" s="24">
        <v>31027</v>
      </c>
      <c r="BD17" s="24"/>
      <c r="BE17" s="24">
        <v>50978</v>
      </c>
      <c r="BF17" s="24">
        <v>12106</v>
      </c>
      <c r="BG17" s="24">
        <v>26941</v>
      </c>
      <c r="BH17" s="24">
        <v>12883</v>
      </c>
      <c r="BI17" s="24">
        <v>23105</v>
      </c>
      <c r="BJ17" s="24">
        <v>1013</v>
      </c>
      <c r="BK17" s="24">
        <v>2051</v>
      </c>
      <c r="BL17" s="37">
        <f t="shared" ref="BL17:BM23" si="1">SUM(B17+D17+F17+H17+J17+L17+N17+P17+R17+T17+V17+X17+Z17+AB17+AD17+AF17+AH17+AJ17+AL17+AN17+AP17+AR17+AT17+AV17+AX17+AZ17+BB17+BD17+BF17+BH17+BJ17)</f>
        <v>98258.010000000009</v>
      </c>
      <c r="BM17" s="37">
        <f t="shared" si="1"/>
        <v>269304.82</v>
      </c>
    </row>
    <row r="18" spans="1:65" x14ac:dyDescent="0.25">
      <c r="A18" s="24" t="s">
        <v>273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>
        <v>0</v>
      </c>
      <c r="M18" s="24">
        <v>0</v>
      </c>
      <c r="N18" s="24">
        <v>260</v>
      </c>
      <c r="O18" s="24">
        <v>417</v>
      </c>
      <c r="P18" s="24"/>
      <c r="Q18" s="24"/>
      <c r="R18" s="24"/>
      <c r="S18" s="24"/>
      <c r="T18" s="24">
        <v>43.19</v>
      </c>
      <c r="U18" s="24">
        <v>67.790000000000006</v>
      </c>
      <c r="V18" s="24">
        <v>165</v>
      </c>
      <c r="W18" s="24">
        <v>459</v>
      </c>
      <c r="X18" s="24">
        <v>715</v>
      </c>
      <c r="Y18" s="24">
        <v>1090</v>
      </c>
      <c r="Z18" s="24">
        <v>6</v>
      </c>
      <c r="AA18" s="24">
        <v>10</v>
      </c>
      <c r="AB18" s="24"/>
      <c r="AC18" s="24">
        <v>2</v>
      </c>
      <c r="AD18" s="24"/>
      <c r="AE18" s="24"/>
      <c r="AF18" s="24"/>
      <c r="AG18" s="24">
        <v>60</v>
      </c>
      <c r="AH18" s="24"/>
      <c r="AI18" s="24"/>
      <c r="AJ18" s="24">
        <v>172.28</v>
      </c>
      <c r="AK18" s="24">
        <v>280.18</v>
      </c>
      <c r="AL18" s="24"/>
      <c r="AM18" s="24"/>
      <c r="AN18" s="24"/>
      <c r="AO18" s="24"/>
      <c r="AP18" s="24"/>
      <c r="AQ18" s="24"/>
      <c r="AR18" s="24">
        <v>25</v>
      </c>
      <c r="AS18" s="24">
        <v>33</v>
      </c>
      <c r="AT18" s="24">
        <v>2</v>
      </c>
      <c r="AU18" s="24">
        <v>2</v>
      </c>
      <c r="AV18" s="24">
        <v>168</v>
      </c>
      <c r="AW18" s="24">
        <v>484</v>
      </c>
      <c r="AX18" s="24"/>
      <c r="AY18" s="24"/>
      <c r="AZ18" s="24"/>
      <c r="BA18" s="24"/>
      <c r="BB18" s="24">
        <v>482</v>
      </c>
      <c r="BC18" s="24">
        <v>1235</v>
      </c>
      <c r="BD18" s="24"/>
      <c r="BE18" s="24">
        <v>1798</v>
      </c>
      <c r="BF18" s="24">
        <v>111</v>
      </c>
      <c r="BG18" s="24">
        <v>287</v>
      </c>
      <c r="BH18" s="24">
        <v>39</v>
      </c>
      <c r="BI18" s="24">
        <v>166</v>
      </c>
      <c r="BJ18" s="24">
        <v>20</v>
      </c>
      <c r="BK18" s="24">
        <v>24</v>
      </c>
      <c r="BL18" s="37">
        <f t="shared" si="1"/>
        <v>2208.4700000000003</v>
      </c>
      <c r="BM18" s="37">
        <f t="shared" si="1"/>
        <v>6414.9699999999993</v>
      </c>
    </row>
    <row r="19" spans="1:65" x14ac:dyDescent="0.25">
      <c r="A19" s="24" t="s">
        <v>274</v>
      </c>
      <c r="B19" s="24"/>
      <c r="C19" s="24"/>
      <c r="D19" s="24"/>
      <c r="E19" s="24"/>
      <c r="F19" s="24"/>
      <c r="G19" s="24"/>
      <c r="H19" s="24">
        <v>-3903</v>
      </c>
      <c r="I19" s="24">
        <v>-7275</v>
      </c>
      <c r="J19" s="24"/>
      <c r="K19" s="24"/>
      <c r="L19" s="24">
        <v>2582</v>
      </c>
      <c r="M19" s="24">
        <v>4462</v>
      </c>
      <c r="N19" s="24">
        <v>395</v>
      </c>
      <c r="O19" s="24">
        <v>2689</v>
      </c>
      <c r="P19" s="24"/>
      <c r="Q19" s="24"/>
      <c r="R19" s="24">
        <v>29.97</v>
      </c>
      <c r="S19" s="24">
        <v>97.46</v>
      </c>
      <c r="T19" s="24">
        <v>528.76</v>
      </c>
      <c r="U19" s="24">
        <v>1422.7</v>
      </c>
      <c r="V19" s="24">
        <v>-1444</v>
      </c>
      <c r="W19" s="24">
        <v>-3452</v>
      </c>
      <c r="X19" s="24">
        <v>6608</v>
      </c>
      <c r="Y19" s="24">
        <v>15621</v>
      </c>
      <c r="Z19" s="24">
        <v>4097</v>
      </c>
      <c r="AA19" s="24">
        <v>8534</v>
      </c>
      <c r="AB19" s="24">
        <v>448</v>
      </c>
      <c r="AC19" s="24">
        <v>791</v>
      </c>
      <c r="AD19" s="24">
        <v>38</v>
      </c>
      <c r="AE19" s="24">
        <v>504</v>
      </c>
      <c r="AF19" s="24">
        <v>-589</v>
      </c>
      <c r="AG19" s="24">
        <v>-1311</v>
      </c>
      <c r="AH19" s="24"/>
      <c r="AI19" s="24"/>
      <c r="AJ19" s="24">
        <v>3981.39</v>
      </c>
      <c r="AK19" s="24">
        <v>6808.9</v>
      </c>
      <c r="AL19" s="24"/>
      <c r="AM19" s="24"/>
      <c r="AN19" s="24"/>
      <c r="AO19" s="24"/>
      <c r="AP19" s="24"/>
      <c r="AQ19" s="24"/>
      <c r="AR19" s="24">
        <v>1900</v>
      </c>
      <c r="AS19" s="24">
        <v>6062</v>
      </c>
      <c r="AT19" s="24">
        <v>424</v>
      </c>
      <c r="AU19" s="24">
        <v>1338</v>
      </c>
      <c r="AV19" s="24">
        <v>433</v>
      </c>
      <c r="AW19" s="24">
        <v>1025</v>
      </c>
      <c r="AX19" s="24">
        <v>53</v>
      </c>
      <c r="AY19" s="24">
        <v>98</v>
      </c>
      <c r="AZ19" s="24"/>
      <c r="BA19" s="24"/>
      <c r="BB19" s="24">
        <v>2225</v>
      </c>
      <c r="BC19" s="24">
        <v>5077</v>
      </c>
      <c r="BD19" s="24"/>
      <c r="BE19" s="24">
        <v>21516</v>
      </c>
      <c r="BF19" s="24">
        <v>5848</v>
      </c>
      <c r="BG19" s="24">
        <v>13071</v>
      </c>
      <c r="BH19" s="24">
        <v>7282</v>
      </c>
      <c r="BI19" s="24">
        <v>11128</v>
      </c>
      <c r="BJ19" s="24">
        <v>899</v>
      </c>
      <c r="BK19" s="24">
        <v>1824</v>
      </c>
      <c r="BL19" s="37">
        <f t="shared" si="1"/>
        <v>31836.12</v>
      </c>
      <c r="BM19" s="37">
        <f t="shared" si="1"/>
        <v>90031.06</v>
      </c>
    </row>
    <row r="20" spans="1:65" s="4" customFormat="1" x14ac:dyDescent="0.25">
      <c r="A20" s="26" t="s">
        <v>275</v>
      </c>
      <c r="B20" s="26"/>
      <c r="C20" s="26"/>
      <c r="D20" s="26"/>
      <c r="E20" s="26"/>
      <c r="F20" s="26"/>
      <c r="G20" s="26"/>
      <c r="H20" s="26">
        <v>3476</v>
      </c>
      <c r="I20" s="26">
        <v>8703</v>
      </c>
      <c r="J20" s="26"/>
      <c r="K20" s="26"/>
      <c r="L20" s="26">
        <v>1199</v>
      </c>
      <c r="M20" s="26">
        <v>2514</v>
      </c>
      <c r="N20" s="26">
        <v>61</v>
      </c>
      <c r="O20" s="26">
        <v>240</v>
      </c>
      <c r="P20" s="26"/>
      <c r="Q20" s="26"/>
      <c r="R20" s="26">
        <v>-10.17</v>
      </c>
      <c r="S20" s="26">
        <v>-3.31</v>
      </c>
      <c r="T20" s="26">
        <v>1740.17</v>
      </c>
      <c r="U20" s="26">
        <v>4098.28</v>
      </c>
      <c r="V20" s="26">
        <v>4070</v>
      </c>
      <c r="W20" s="26">
        <v>9958</v>
      </c>
      <c r="X20" s="26">
        <v>11112</v>
      </c>
      <c r="Y20" s="26">
        <v>27241</v>
      </c>
      <c r="Z20" s="26">
        <v>3775</v>
      </c>
      <c r="AA20" s="26">
        <v>7796</v>
      </c>
      <c r="AB20" s="26">
        <v>80</v>
      </c>
      <c r="AC20" s="26">
        <v>145</v>
      </c>
      <c r="AD20" s="26">
        <v>817</v>
      </c>
      <c r="AE20" s="26">
        <v>1622</v>
      </c>
      <c r="AF20" s="26">
        <v>114</v>
      </c>
      <c r="AG20" s="26">
        <v>151</v>
      </c>
      <c r="AH20" s="26"/>
      <c r="AI20" s="26"/>
      <c r="AJ20" s="26">
        <v>3831.36</v>
      </c>
      <c r="AK20" s="26">
        <v>7407.75</v>
      </c>
      <c r="AL20" s="26"/>
      <c r="AM20" s="26"/>
      <c r="AN20" s="26"/>
      <c r="AO20" s="26"/>
      <c r="AP20" s="26"/>
      <c r="AQ20" s="26"/>
      <c r="AR20" s="26">
        <v>418</v>
      </c>
      <c r="AS20" s="26">
        <v>1264</v>
      </c>
      <c r="AT20" s="26">
        <v>642</v>
      </c>
      <c r="AU20" s="26">
        <v>1463</v>
      </c>
      <c r="AV20" s="26">
        <v>1753</v>
      </c>
      <c r="AW20" s="26">
        <v>4006</v>
      </c>
      <c r="AX20" s="26">
        <v>8</v>
      </c>
      <c r="AY20" s="26">
        <v>12</v>
      </c>
      <c r="AZ20" s="26"/>
      <c r="BA20" s="26"/>
      <c r="BB20" s="26">
        <v>11531</v>
      </c>
      <c r="BC20" s="26">
        <v>27186</v>
      </c>
      <c r="BD20" s="26"/>
      <c r="BE20" s="26">
        <v>31260</v>
      </c>
      <c r="BF20" s="26">
        <v>6368</v>
      </c>
      <c r="BG20" s="26">
        <v>14157</v>
      </c>
      <c r="BH20" s="26">
        <v>5639</v>
      </c>
      <c r="BI20" s="26">
        <v>12143</v>
      </c>
      <c r="BJ20" s="26">
        <v>134</v>
      </c>
      <c r="BK20" s="26">
        <v>250</v>
      </c>
      <c r="BL20" s="39">
        <f t="shared" si="1"/>
        <v>56758.36</v>
      </c>
      <c r="BM20" s="39">
        <f t="shared" si="1"/>
        <v>161613.72</v>
      </c>
    </row>
    <row r="21" spans="1:65" x14ac:dyDescent="0.25">
      <c r="A21" s="24" t="s">
        <v>276</v>
      </c>
      <c r="B21" s="24"/>
      <c r="C21" s="24"/>
      <c r="D21" s="24"/>
      <c r="E21" s="24"/>
      <c r="F21" s="24"/>
      <c r="G21" s="24"/>
      <c r="H21" s="24">
        <v>5611</v>
      </c>
      <c r="I21" s="24">
        <v>3963</v>
      </c>
      <c r="J21" s="24"/>
      <c r="K21" s="24"/>
      <c r="L21" s="24">
        <v>1693</v>
      </c>
      <c r="M21" s="24">
        <v>1371</v>
      </c>
      <c r="N21" s="24">
        <v>141</v>
      </c>
      <c r="O21" s="24">
        <v>21</v>
      </c>
      <c r="P21" s="24"/>
      <c r="Q21" s="24"/>
      <c r="R21" s="24">
        <v>4.96</v>
      </c>
      <c r="S21" s="24">
        <v>4.21</v>
      </c>
      <c r="T21" s="24">
        <v>2749.3</v>
      </c>
      <c r="U21" s="24">
        <v>1915.3</v>
      </c>
      <c r="V21" s="24">
        <v>6122</v>
      </c>
      <c r="W21" s="24">
        <v>3700</v>
      </c>
      <c r="X21" s="24">
        <v>14163</v>
      </c>
      <c r="Y21" s="24">
        <v>8595</v>
      </c>
      <c r="Z21" s="24"/>
      <c r="AA21" s="24">
        <v>3769</v>
      </c>
      <c r="AB21" s="24">
        <v>89</v>
      </c>
      <c r="AC21" s="24">
        <v>60</v>
      </c>
      <c r="AD21" s="24">
        <v>954</v>
      </c>
      <c r="AE21" s="24">
        <v>902</v>
      </c>
      <c r="AF21" s="24">
        <v>102</v>
      </c>
      <c r="AG21" s="24">
        <v>23</v>
      </c>
      <c r="AH21" s="24"/>
      <c r="AI21" s="24"/>
      <c r="AJ21" s="24"/>
      <c r="AK21" s="24">
        <v>7227.84</v>
      </c>
      <c r="AL21" s="24"/>
      <c r="AM21" s="24"/>
      <c r="AN21" s="24"/>
      <c r="AO21" s="24"/>
      <c r="AP21" s="24"/>
      <c r="AQ21" s="24"/>
      <c r="AR21" s="24">
        <v>751</v>
      </c>
      <c r="AS21" s="24">
        <v>391</v>
      </c>
      <c r="AT21" s="24">
        <v>1355</v>
      </c>
      <c r="AU21" s="24">
        <v>1252</v>
      </c>
      <c r="AV21" s="24">
        <v>2960</v>
      </c>
      <c r="AW21" s="24">
        <v>2133</v>
      </c>
      <c r="AX21" s="24">
        <v>11</v>
      </c>
      <c r="AY21" s="24">
        <v>11</v>
      </c>
      <c r="AZ21" s="24"/>
      <c r="BA21" s="24"/>
      <c r="BB21" s="24">
        <v>19758</v>
      </c>
      <c r="BC21" s="24">
        <v>18235</v>
      </c>
      <c r="BD21" s="24"/>
      <c r="BE21" s="24">
        <v>27426</v>
      </c>
      <c r="BF21" s="24">
        <v>0</v>
      </c>
      <c r="BG21" s="24">
        <v>0</v>
      </c>
      <c r="BH21" s="24"/>
      <c r="BI21" s="24"/>
      <c r="BJ21" s="24">
        <v>193</v>
      </c>
      <c r="BK21" s="24">
        <v>157</v>
      </c>
      <c r="BL21" s="37">
        <f t="shared" si="1"/>
        <v>56657.26</v>
      </c>
      <c r="BM21" s="37">
        <f t="shared" si="1"/>
        <v>81156.350000000006</v>
      </c>
    </row>
    <row r="22" spans="1:65" x14ac:dyDescent="0.25">
      <c r="A22" s="36" t="s">
        <v>277</v>
      </c>
      <c r="B22" s="24"/>
      <c r="C22" s="24"/>
      <c r="D22" s="24"/>
      <c r="E22" s="24"/>
      <c r="F22" s="24"/>
      <c r="G22" s="24"/>
      <c r="H22" s="24">
        <v>5389</v>
      </c>
      <c r="I22" s="24">
        <v>5389</v>
      </c>
      <c r="J22" s="24"/>
      <c r="K22" s="24"/>
      <c r="L22" s="24">
        <v>1821</v>
      </c>
      <c r="M22" s="24">
        <v>1822</v>
      </c>
      <c r="N22" s="24">
        <v>118</v>
      </c>
      <c r="O22" s="24">
        <v>118</v>
      </c>
      <c r="P22" s="24"/>
      <c r="Q22" s="24"/>
      <c r="R22" s="24">
        <v>-0.6</v>
      </c>
      <c r="S22" s="24">
        <v>-0.6</v>
      </c>
      <c r="T22" s="24">
        <v>2793.79</v>
      </c>
      <c r="U22" s="24">
        <v>2793.79</v>
      </c>
      <c r="V22" s="24">
        <v>-6337</v>
      </c>
      <c r="W22" s="24">
        <v>-6337</v>
      </c>
      <c r="X22" s="24">
        <v>14703</v>
      </c>
      <c r="Y22" s="24">
        <v>14703</v>
      </c>
      <c r="Z22" s="24">
        <v>461</v>
      </c>
      <c r="AA22" s="24">
        <v>5530</v>
      </c>
      <c r="AB22" s="24">
        <v>112</v>
      </c>
      <c r="AC22" s="24">
        <v>112</v>
      </c>
      <c r="AD22" s="24">
        <v>1091</v>
      </c>
      <c r="AE22" s="24">
        <v>1091</v>
      </c>
      <c r="AF22" s="24">
        <v>-176</v>
      </c>
      <c r="AG22" s="24">
        <v>-176</v>
      </c>
      <c r="AH22" s="24"/>
      <c r="AI22" s="24"/>
      <c r="AJ22" s="24">
        <v>277.08999999999997</v>
      </c>
      <c r="AK22" s="24">
        <v>7658.65</v>
      </c>
      <c r="AL22" s="24"/>
      <c r="AM22" s="24"/>
      <c r="AN22" s="24"/>
      <c r="AO22" s="24"/>
      <c r="AP22" s="24"/>
      <c r="AQ22" s="24"/>
      <c r="AR22" s="24">
        <v>710</v>
      </c>
      <c r="AS22" s="24">
        <v>710</v>
      </c>
      <c r="AT22" s="24">
        <v>1357</v>
      </c>
      <c r="AU22" s="24">
        <v>1357</v>
      </c>
      <c r="AV22" s="24">
        <v>2876</v>
      </c>
      <c r="AW22" s="24">
        <v>2876</v>
      </c>
      <c r="AX22" s="24">
        <v>13</v>
      </c>
      <c r="AY22" s="24">
        <v>13</v>
      </c>
      <c r="AZ22" s="24"/>
      <c r="BA22" s="24"/>
      <c r="BB22" s="24">
        <v>18956</v>
      </c>
      <c r="BC22" s="24">
        <v>18956</v>
      </c>
      <c r="BD22" s="24"/>
      <c r="BE22" s="24">
        <v>37374</v>
      </c>
      <c r="BF22" s="24">
        <v>347</v>
      </c>
      <c r="BG22" s="24">
        <v>1445</v>
      </c>
      <c r="BH22" s="24"/>
      <c r="BI22" s="24"/>
      <c r="BJ22" s="24">
        <v>-204</v>
      </c>
      <c r="BK22" s="24">
        <v>-204</v>
      </c>
      <c r="BL22" s="37">
        <f t="shared" si="1"/>
        <v>44307.28</v>
      </c>
      <c r="BM22" s="37">
        <f t="shared" si="1"/>
        <v>95230.84</v>
      </c>
    </row>
    <row r="23" spans="1:65" s="4" customFormat="1" x14ac:dyDescent="0.25">
      <c r="A23" s="26" t="s">
        <v>192</v>
      </c>
      <c r="B23" s="26"/>
      <c r="C23" s="26"/>
      <c r="D23" s="26"/>
      <c r="E23" s="26"/>
      <c r="F23" s="26"/>
      <c r="G23" s="26"/>
      <c r="H23" s="26">
        <v>3698</v>
      </c>
      <c r="I23" s="26">
        <v>7277</v>
      </c>
      <c r="J23" s="26"/>
      <c r="K23" s="26"/>
      <c r="L23" s="26">
        <v>1070</v>
      </c>
      <c r="M23" s="26">
        <v>2064</v>
      </c>
      <c r="N23" s="26">
        <v>84</v>
      </c>
      <c r="O23" s="26">
        <v>143</v>
      </c>
      <c r="P23" s="26"/>
      <c r="Q23" s="26"/>
      <c r="R23" s="26">
        <v>-4.6100000000000003</v>
      </c>
      <c r="S23" s="26">
        <v>1.5</v>
      </c>
      <c r="T23" s="26">
        <v>1695.68</v>
      </c>
      <c r="U23" s="26">
        <v>3219.8</v>
      </c>
      <c r="V23" s="26">
        <v>3854</v>
      </c>
      <c r="W23" s="26">
        <v>7321</v>
      </c>
      <c r="X23" s="26">
        <v>10572</v>
      </c>
      <c r="Y23" s="26">
        <v>21133</v>
      </c>
      <c r="Z23" s="26">
        <v>3314</v>
      </c>
      <c r="AA23" s="26">
        <v>6035</v>
      </c>
      <c r="AB23" s="26">
        <v>58</v>
      </c>
      <c r="AC23" s="26">
        <v>94</v>
      </c>
      <c r="AD23" s="26">
        <v>680</v>
      </c>
      <c r="AE23" s="26">
        <v>1432</v>
      </c>
      <c r="AF23" s="26">
        <v>40</v>
      </c>
      <c r="AG23" s="26">
        <v>-1</v>
      </c>
      <c r="AH23" s="26"/>
      <c r="AI23" s="26"/>
      <c r="AJ23" s="26">
        <v>3554.27</v>
      </c>
      <c r="AK23" s="26">
        <v>6976.94</v>
      </c>
      <c r="AL23" s="26"/>
      <c r="AM23" s="26"/>
      <c r="AN23" s="26"/>
      <c r="AO23" s="26"/>
      <c r="AP23" s="26"/>
      <c r="AQ23" s="26"/>
      <c r="AR23" s="26">
        <v>459</v>
      </c>
      <c r="AS23" s="26">
        <v>945</v>
      </c>
      <c r="AT23" s="26">
        <v>640</v>
      </c>
      <c r="AU23" s="26">
        <v>1357</v>
      </c>
      <c r="AV23" s="26">
        <v>1837</v>
      </c>
      <c r="AW23" s="26">
        <v>3263</v>
      </c>
      <c r="AX23" s="26">
        <v>5</v>
      </c>
      <c r="AY23" s="26">
        <v>10</v>
      </c>
      <c r="AZ23" s="26"/>
      <c r="BA23" s="26"/>
      <c r="BB23" s="26">
        <v>12333</v>
      </c>
      <c r="BC23" s="26">
        <v>26465</v>
      </c>
      <c r="BD23" s="26"/>
      <c r="BE23" s="26">
        <v>21312</v>
      </c>
      <c r="BF23" s="26">
        <v>6022</v>
      </c>
      <c r="BG23" s="26">
        <v>12712</v>
      </c>
      <c r="BH23" s="26">
        <v>5448</v>
      </c>
      <c r="BI23" s="26">
        <v>11078</v>
      </c>
      <c r="BJ23" s="26">
        <v>123</v>
      </c>
      <c r="BK23" s="26">
        <v>203</v>
      </c>
      <c r="BL23" s="39">
        <f t="shared" si="1"/>
        <v>55482.34</v>
      </c>
      <c r="BM23" s="39">
        <f t="shared" si="1"/>
        <v>133041.24</v>
      </c>
    </row>
    <row r="25" spans="1:65" x14ac:dyDescent="0.25">
      <c r="A25" s="7" t="s">
        <v>184</v>
      </c>
    </row>
    <row r="26" spans="1:65" x14ac:dyDescent="0.25">
      <c r="A26" s="42" t="s">
        <v>0</v>
      </c>
      <c r="B26" s="94" t="s">
        <v>1</v>
      </c>
      <c r="C26" s="95"/>
      <c r="D26" s="94" t="s">
        <v>232</v>
      </c>
      <c r="E26" s="95"/>
      <c r="F26" s="94" t="s">
        <v>2</v>
      </c>
      <c r="G26" s="95"/>
      <c r="H26" s="94" t="s">
        <v>3</v>
      </c>
      <c r="I26" s="95"/>
      <c r="J26" s="94" t="s">
        <v>241</v>
      </c>
      <c r="K26" s="95"/>
      <c r="L26" s="94" t="s">
        <v>233</v>
      </c>
      <c r="M26" s="95"/>
      <c r="N26" s="94" t="s">
        <v>246</v>
      </c>
      <c r="O26" s="95"/>
      <c r="P26" s="94" t="s">
        <v>5</v>
      </c>
      <c r="Q26" s="95"/>
      <c r="R26" s="94" t="s">
        <v>4</v>
      </c>
      <c r="S26" s="95"/>
      <c r="T26" s="94" t="s">
        <v>6</v>
      </c>
      <c r="U26" s="95"/>
      <c r="V26" s="94" t="s">
        <v>7</v>
      </c>
      <c r="W26" s="95"/>
      <c r="X26" s="94" t="s">
        <v>8</v>
      </c>
      <c r="Y26" s="95"/>
      <c r="Z26" s="94" t="s">
        <v>9</v>
      </c>
      <c r="AA26" s="95"/>
      <c r="AB26" s="94" t="s">
        <v>240</v>
      </c>
      <c r="AC26" s="95"/>
      <c r="AD26" s="94" t="s">
        <v>10</v>
      </c>
      <c r="AE26" s="95"/>
      <c r="AF26" s="94" t="s">
        <v>11</v>
      </c>
      <c r="AG26" s="95"/>
      <c r="AH26" s="94" t="s">
        <v>234</v>
      </c>
      <c r="AI26" s="95"/>
      <c r="AJ26" s="94" t="s">
        <v>12</v>
      </c>
      <c r="AK26" s="95"/>
      <c r="AL26" s="94" t="s">
        <v>235</v>
      </c>
      <c r="AM26" s="95"/>
      <c r="AN26" s="94" t="s">
        <v>300</v>
      </c>
      <c r="AO26" s="95"/>
      <c r="AP26" s="94" t="s">
        <v>236</v>
      </c>
      <c r="AQ26" s="95"/>
      <c r="AR26" s="94" t="s">
        <v>239</v>
      </c>
      <c r="AS26" s="95"/>
      <c r="AT26" s="94" t="s">
        <v>13</v>
      </c>
      <c r="AU26" s="95"/>
      <c r="AV26" s="94" t="s">
        <v>14</v>
      </c>
      <c r="AW26" s="95"/>
      <c r="AX26" s="94" t="s">
        <v>15</v>
      </c>
      <c r="AY26" s="95"/>
      <c r="AZ26" s="94" t="s">
        <v>16</v>
      </c>
      <c r="BA26" s="95"/>
      <c r="BB26" s="94" t="s">
        <v>17</v>
      </c>
      <c r="BC26" s="95"/>
      <c r="BD26" s="94" t="s">
        <v>237</v>
      </c>
      <c r="BE26" s="95"/>
      <c r="BF26" s="94" t="s">
        <v>238</v>
      </c>
      <c r="BG26" s="95"/>
      <c r="BH26" s="94" t="s">
        <v>18</v>
      </c>
      <c r="BI26" s="95"/>
      <c r="BJ26" s="94" t="s">
        <v>19</v>
      </c>
      <c r="BK26" s="95"/>
      <c r="BL26" s="96" t="s">
        <v>20</v>
      </c>
      <c r="BM26" s="97"/>
    </row>
    <row r="27" spans="1:65" ht="30" x14ac:dyDescent="0.25">
      <c r="A27" s="42"/>
      <c r="B27" s="34" t="s">
        <v>298</v>
      </c>
      <c r="C27" s="35" t="s">
        <v>299</v>
      </c>
      <c r="D27" s="34" t="s">
        <v>298</v>
      </c>
      <c r="E27" s="35" t="s">
        <v>299</v>
      </c>
      <c r="F27" s="34" t="s">
        <v>298</v>
      </c>
      <c r="G27" s="35" t="s">
        <v>299</v>
      </c>
      <c r="H27" s="34" t="s">
        <v>298</v>
      </c>
      <c r="I27" s="35" t="s">
        <v>299</v>
      </c>
      <c r="J27" s="34" t="s">
        <v>298</v>
      </c>
      <c r="K27" s="35" t="s">
        <v>299</v>
      </c>
      <c r="L27" s="34" t="s">
        <v>298</v>
      </c>
      <c r="M27" s="35" t="s">
        <v>299</v>
      </c>
      <c r="N27" s="34" t="s">
        <v>298</v>
      </c>
      <c r="O27" s="35" t="s">
        <v>299</v>
      </c>
      <c r="P27" s="34" t="s">
        <v>298</v>
      </c>
      <c r="Q27" s="35" t="s">
        <v>299</v>
      </c>
      <c r="R27" s="34" t="s">
        <v>298</v>
      </c>
      <c r="S27" s="35" t="s">
        <v>299</v>
      </c>
      <c r="T27" s="34" t="s">
        <v>298</v>
      </c>
      <c r="U27" s="35" t="s">
        <v>299</v>
      </c>
      <c r="V27" s="34" t="s">
        <v>298</v>
      </c>
      <c r="W27" s="35" t="s">
        <v>299</v>
      </c>
      <c r="X27" s="34" t="s">
        <v>298</v>
      </c>
      <c r="Y27" s="35" t="s">
        <v>299</v>
      </c>
      <c r="Z27" s="34" t="s">
        <v>298</v>
      </c>
      <c r="AA27" s="35" t="s">
        <v>299</v>
      </c>
      <c r="AB27" s="34" t="s">
        <v>298</v>
      </c>
      <c r="AC27" s="35" t="s">
        <v>299</v>
      </c>
      <c r="AD27" s="34" t="s">
        <v>298</v>
      </c>
      <c r="AE27" s="35" t="s">
        <v>299</v>
      </c>
      <c r="AF27" s="34" t="s">
        <v>298</v>
      </c>
      <c r="AG27" s="35" t="s">
        <v>299</v>
      </c>
      <c r="AH27" s="34" t="s">
        <v>298</v>
      </c>
      <c r="AI27" s="35" t="s">
        <v>299</v>
      </c>
      <c r="AJ27" s="34" t="s">
        <v>298</v>
      </c>
      <c r="AK27" s="35" t="s">
        <v>299</v>
      </c>
      <c r="AL27" s="34" t="s">
        <v>298</v>
      </c>
      <c r="AM27" s="35" t="s">
        <v>299</v>
      </c>
      <c r="AN27" s="34" t="s">
        <v>298</v>
      </c>
      <c r="AO27" s="35" t="s">
        <v>299</v>
      </c>
      <c r="AP27" s="34" t="s">
        <v>298</v>
      </c>
      <c r="AQ27" s="35" t="s">
        <v>299</v>
      </c>
      <c r="AR27" s="34" t="s">
        <v>298</v>
      </c>
      <c r="AS27" s="35" t="s">
        <v>299</v>
      </c>
      <c r="AT27" s="34" t="s">
        <v>298</v>
      </c>
      <c r="AU27" s="35" t="s">
        <v>299</v>
      </c>
      <c r="AV27" s="34" t="s">
        <v>298</v>
      </c>
      <c r="AW27" s="35" t="s">
        <v>299</v>
      </c>
      <c r="AX27" s="34" t="s">
        <v>298</v>
      </c>
      <c r="AY27" s="35" t="s">
        <v>299</v>
      </c>
      <c r="AZ27" s="34" t="s">
        <v>298</v>
      </c>
      <c r="BA27" s="35" t="s">
        <v>299</v>
      </c>
      <c r="BB27" s="34" t="s">
        <v>298</v>
      </c>
      <c r="BC27" s="35" t="s">
        <v>299</v>
      </c>
      <c r="BD27" s="34" t="s">
        <v>298</v>
      </c>
      <c r="BE27" s="35" t="s">
        <v>299</v>
      </c>
      <c r="BF27" s="34" t="s">
        <v>298</v>
      </c>
      <c r="BG27" s="35" t="s">
        <v>299</v>
      </c>
      <c r="BH27" s="34" t="s">
        <v>298</v>
      </c>
      <c r="BI27" s="35" t="s">
        <v>299</v>
      </c>
      <c r="BJ27" s="34" t="s">
        <v>298</v>
      </c>
      <c r="BK27" s="35" t="s">
        <v>299</v>
      </c>
      <c r="BL27" s="34" t="s">
        <v>298</v>
      </c>
      <c r="BM27" s="35" t="s">
        <v>299</v>
      </c>
    </row>
    <row r="28" spans="1:65" x14ac:dyDescent="0.25">
      <c r="A28" s="24" t="s">
        <v>272</v>
      </c>
      <c r="B28" s="24">
        <v>16445</v>
      </c>
      <c r="C28" s="24">
        <v>28813</v>
      </c>
      <c r="D28" s="24"/>
      <c r="E28" s="24"/>
      <c r="F28" s="24"/>
      <c r="G28" s="24"/>
      <c r="H28" s="24">
        <v>125186</v>
      </c>
      <c r="I28" s="24">
        <v>231763</v>
      </c>
      <c r="J28" s="24"/>
      <c r="K28" s="24"/>
      <c r="L28" s="24">
        <v>101696</v>
      </c>
      <c r="M28" s="24">
        <v>183779</v>
      </c>
      <c r="N28" s="24">
        <v>92656</v>
      </c>
      <c r="O28" s="24">
        <v>168114</v>
      </c>
      <c r="P28" s="24"/>
      <c r="Q28" s="24"/>
      <c r="R28" s="24">
        <v>9454.7800000000007</v>
      </c>
      <c r="S28" s="24">
        <v>15331.75</v>
      </c>
      <c r="T28" s="24">
        <v>34421.94</v>
      </c>
      <c r="U28" s="24">
        <v>72796.84</v>
      </c>
      <c r="V28" s="24">
        <v>120568</v>
      </c>
      <c r="W28" s="24">
        <v>204266</v>
      </c>
      <c r="X28" s="24">
        <v>192766</v>
      </c>
      <c r="Y28" s="24">
        <v>370926</v>
      </c>
      <c r="Z28" s="24">
        <v>95280</v>
      </c>
      <c r="AA28" s="24">
        <v>168517</v>
      </c>
      <c r="AB28" s="24">
        <v>13024</v>
      </c>
      <c r="AC28" s="24">
        <v>23095</v>
      </c>
      <c r="AD28" s="24">
        <v>32717</v>
      </c>
      <c r="AE28" s="24">
        <v>57706</v>
      </c>
      <c r="AF28" s="24">
        <v>45442</v>
      </c>
      <c r="AG28" s="24">
        <v>85775</v>
      </c>
      <c r="AH28" s="24"/>
      <c r="AI28" s="24"/>
      <c r="AJ28" s="24">
        <v>116788.24</v>
      </c>
      <c r="AK28" s="24">
        <v>212920.11</v>
      </c>
      <c r="AL28" s="24">
        <v>830</v>
      </c>
      <c r="AM28" s="24">
        <v>1738</v>
      </c>
      <c r="AN28" s="24"/>
      <c r="AO28" s="24"/>
      <c r="AP28" s="24">
        <v>10906</v>
      </c>
      <c r="AQ28" s="24">
        <v>19150</v>
      </c>
      <c r="AR28" s="24">
        <v>91711</v>
      </c>
      <c r="AS28" s="24">
        <v>163538</v>
      </c>
      <c r="AT28" s="24">
        <v>59827</v>
      </c>
      <c r="AU28" s="24">
        <v>104236</v>
      </c>
      <c r="AV28" s="24">
        <v>54520</v>
      </c>
      <c r="AW28" s="24">
        <v>113443</v>
      </c>
      <c r="AX28" s="24">
        <v>55130</v>
      </c>
      <c r="AY28" s="24">
        <v>92035</v>
      </c>
      <c r="AZ28" s="24"/>
      <c r="BA28" s="24"/>
      <c r="BB28" s="24">
        <v>148090</v>
      </c>
      <c r="BC28" s="24">
        <v>269733</v>
      </c>
      <c r="BD28" s="24"/>
      <c r="BE28" s="24">
        <v>447436</v>
      </c>
      <c r="BF28" s="24">
        <v>87071</v>
      </c>
      <c r="BG28" s="24">
        <v>158950</v>
      </c>
      <c r="BH28" s="24">
        <v>138148</v>
      </c>
      <c r="BI28" s="24">
        <v>254070</v>
      </c>
      <c r="BJ28" s="24">
        <v>54742</v>
      </c>
      <c r="BK28" s="24">
        <v>99491</v>
      </c>
      <c r="BL28" s="37">
        <f t="shared" ref="BL28:BM34" si="2">SUM(B28+D28+F28+H28+J28+L28+N28+P28+R28+T28+V28+X28+Z28+AB28+AD28+AF28+AH28+AJ28+AL28+AN28+AP28+AR28+AT28+AV28+AX28+AZ28+BB28+BD28+BF28+BH28+BJ28)</f>
        <v>1697419.96</v>
      </c>
      <c r="BM28" s="37">
        <f t="shared" si="2"/>
        <v>3547622.6999999997</v>
      </c>
    </row>
    <row r="29" spans="1:65" x14ac:dyDescent="0.25">
      <c r="A29" s="24" t="s">
        <v>273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9337</v>
      </c>
      <c r="O29" s="24">
        <v>17027</v>
      </c>
      <c r="P29" s="24"/>
      <c r="Q29" s="24"/>
      <c r="R29" s="24"/>
      <c r="S29" s="24"/>
      <c r="T29" s="24"/>
      <c r="U29" s="24"/>
      <c r="V29" s="24"/>
      <c r="W29" s="24"/>
      <c r="X29" s="24">
        <v>442</v>
      </c>
      <c r="Y29" s="24">
        <v>442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>
        <v>244.74</v>
      </c>
      <c r="AK29" s="24">
        <v>261.49</v>
      </c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>
        <v>303</v>
      </c>
      <c r="BF29" s="24">
        <v>161</v>
      </c>
      <c r="BG29" s="24">
        <v>519</v>
      </c>
      <c r="BH29" s="24"/>
      <c r="BI29" s="24"/>
      <c r="BJ29" s="24"/>
      <c r="BK29" s="24"/>
      <c r="BL29" s="37">
        <f t="shared" si="2"/>
        <v>10184.74</v>
      </c>
      <c r="BM29" s="37">
        <f t="shared" si="2"/>
        <v>18552.490000000002</v>
      </c>
    </row>
    <row r="30" spans="1:65" x14ac:dyDescent="0.25">
      <c r="A30" s="24" t="s">
        <v>274</v>
      </c>
      <c r="B30" s="24">
        <v>7520</v>
      </c>
      <c r="C30" s="24">
        <v>13363</v>
      </c>
      <c r="D30" s="24"/>
      <c r="E30" s="24"/>
      <c r="F30" s="24"/>
      <c r="G30" s="24"/>
      <c r="H30" s="24">
        <v>-21610</v>
      </c>
      <c r="I30" s="24">
        <v>-37288</v>
      </c>
      <c r="J30" s="24"/>
      <c r="K30" s="24"/>
      <c r="L30" s="24">
        <v>17914</v>
      </c>
      <c r="M30" s="24">
        <v>32744</v>
      </c>
      <c r="N30" s="24">
        <v>3884</v>
      </c>
      <c r="O30" s="24">
        <v>6947</v>
      </c>
      <c r="P30" s="24"/>
      <c r="Q30" s="24"/>
      <c r="R30" s="24">
        <v>3732.28</v>
      </c>
      <c r="S30" s="24">
        <v>6485.1</v>
      </c>
      <c r="T30" s="24">
        <v>1864</v>
      </c>
      <c r="U30" s="24">
        <v>3678.53</v>
      </c>
      <c r="V30" s="24">
        <v>-33967</v>
      </c>
      <c r="W30" s="24">
        <v>-60900</v>
      </c>
      <c r="X30" s="24">
        <v>8586</v>
      </c>
      <c r="Y30" s="24">
        <v>16720</v>
      </c>
      <c r="Z30" s="24">
        <v>4169</v>
      </c>
      <c r="AA30" s="24">
        <v>7337</v>
      </c>
      <c r="AB30" s="24">
        <v>2849</v>
      </c>
      <c r="AC30" s="24">
        <v>4404</v>
      </c>
      <c r="AD30" s="24">
        <v>1383</v>
      </c>
      <c r="AE30" s="24">
        <v>3074</v>
      </c>
      <c r="AF30" s="24">
        <v>-6514</v>
      </c>
      <c r="AG30" s="24">
        <v>-12871</v>
      </c>
      <c r="AH30" s="24"/>
      <c r="AI30" s="24"/>
      <c r="AJ30" s="24">
        <v>5206.5600000000004</v>
      </c>
      <c r="AK30" s="24">
        <v>10032.19</v>
      </c>
      <c r="AL30" s="24">
        <v>-656</v>
      </c>
      <c r="AM30" s="24">
        <v>-929</v>
      </c>
      <c r="AN30" s="24"/>
      <c r="AO30" s="24"/>
      <c r="AP30" s="24">
        <v>644</v>
      </c>
      <c r="AQ30" s="24">
        <v>1133</v>
      </c>
      <c r="AR30" s="24">
        <v>23758</v>
      </c>
      <c r="AS30" s="24">
        <v>43977</v>
      </c>
      <c r="AT30" s="24">
        <v>7673</v>
      </c>
      <c r="AU30" s="24">
        <v>13637</v>
      </c>
      <c r="AV30" s="24">
        <v>20807</v>
      </c>
      <c r="AW30" s="24">
        <v>41852</v>
      </c>
      <c r="AX30" s="24">
        <v>2802</v>
      </c>
      <c r="AY30" s="24">
        <v>4634</v>
      </c>
      <c r="AZ30" s="24"/>
      <c r="BA30" s="24"/>
      <c r="BB30" s="24">
        <v>26176</v>
      </c>
      <c r="BC30" s="24">
        <v>47702</v>
      </c>
      <c r="BD30" s="24"/>
      <c r="BE30" s="24">
        <v>22588</v>
      </c>
      <c r="BF30" s="24">
        <v>3491</v>
      </c>
      <c r="BG30" s="24">
        <v>6861</v>
      </c>
      <c r="BH30" s="24">
        <v>5562</v>
      </c>
      <c r="BI30" s="24">
        <v>10224</v>
      </c>
      <c r="BJ30" s="24">
        <v>2859</v>
      </c>
      <c r="BK30" s="24">
        <v>5954</v>
      </c>
      <c r="BL30" s="37">
        <f t="shared" si="2"/>
        <v>88132.84</v>
      </c>
      <c r="BM30" s="37">
        <f t="shared" si="2"/>
        <v>191358.82</v>
      </c>
    </row>
    <row r="31" spans="1:65" s="4" customFormat="1" x14ac:dyDescent="0.25">
      <c r="A31" s="26" t="s">
        <v>275</v>
      </c>
      <c r="B31" s="26">
        <v>8925</v>
      </c>
      <c r="C31" s="26">
        <v>15450</v>
      </c>
      <c r="D31" s="26"/>
      <c r="E31" s="26"/>
      <c r="F31" s="26"/>
      <c r="G31" s="26"/>
      <c r="H31" s="26">
        <v>103576</v>
      </c>
      <c r="I31" s="26">
        <v>194475</v>
      </c>
      <c r="J31" s="26"/>
      <c r="K31" s="26"/>
      <c r="L31" s="26">
        <v>83782</v>
      </c>
      <c r="M31" s="26">
        <v>151035</v>
      </c>
      <c r="N31" s="26">
        <v>98109</v>
      </c>
      <c r="O31" s="26">
        <v>178194</v>
      </c>
      <c r="P31" s="26"/>
      <c r="Q31" s="26"/>
      <c r="R31" s="26">
        <v>5722.5</v>
      </c>
      <c r="S31" s="26">
        <v>8846.65</v>
      </c>
      <c r="T31" s="26">
        <v>32557.94</v>
      </c>
      <c r="U31" s="26">
        <v>69118.3</v>
      </c>
      <c r="V31" s="26">
        <v>86601</v>
      </c>
      <c r="W31" s="26">
        <v>143366</v>
      </c>
      <c r="X31" s="26">
        <v>184622</v>
      </c>
      <c r="Y31" s="26">
        <v>354648</v>
      </c>
      <c r="Z31" s="26">
        <v>91111</v>
      </c>
      <c r="AA31" s="26">
        <v>161180</v>
      </c>
      <c r="AB31" s="26">
        <v>10175</v>
      </c>
      <c r="AC31" s="26">
        <v>18691</v>
      </c>
      <c r="AD31" s="26">
        <v>31333</v>
      </c>
      <c r="AE31" s="26">
        <v>54632</v>
      </c>
      <c r="AF31" s="26">
        <v>38928</v>
      </c>
      <c r="AG31" s="26">
        <v>72905</v>
      </c>
      <c r="AH31" s="26"/>
      <c r="AI31" s="26"/>
      <c r="AJ31" s="26">
        <v>111826.42</v>
      </c>
      <c r="AK31" s="26">
        <v>203149.4</v>
      </c>
      <c r="AL31" s="26">
        <v>174</v>
      </c>
      <c r="AM31" s="26">
        <v>809</v>
      </c>
      <c r="AN31" s="26"/>
      <c r="AO31" s="26"/>
      <c r="AP31" s="26">
        <v>10261</v>
      </c>
      <c r="AQ31" s="26">
        <v>18017</v>
      </c>
      <c r="AR31" s="26">
        <v>67952</v>
      </c>
      <c r="AS31" s="26">
        <v>119561</v>
      </c>
      <c r="AT31" s="26">
        <v>52153</v>
      </c>
      <c r="AU31" s="26">
        <v>90599</v>
      </c>
      <c r="AV31" s="26">
        <v>33713</v>
      </c>
      <c r="AW31" s="26">
        <v>71591</v>
      </c>
      <c r="AX31" s="26">
        <v>52328</v>
      </c>
      <c r="AY31" s="26">
        <v>87401</v>
      </c>
      <c r="AZ31" s="26"/>
      <c r="BA31" s="26"/>
      <c r="BB31" s="26">
        <v>121914</v>
      </c>
      <c r="BC31" s="26">
        <v>222031</v>
      </c>
      <c r="BD31" s="26"/>
      <c r="BE31" s="26">
        <v>425152</v>
      </c>
      <c r="BF31" s="26">
        <v>83741</v>
      </c>
      <c r="BG31" s="26">
        <v>152608</v>
      </c>
      <c r="BH31" s="26">
        <v>132586</v>
      </c>
      <c r="BI31" s="26">
        <v>243846</v>
      </c>
      <c r="BJ31" s="26">
        <v>51883</v>
      </c>
      <c r="BK31" s="26">
        <v>93538</v>
      </c>
      <c r="BL31" s="39">
        <f t="shared" si="2"/>
        <v>1493973.8599999999</v>
      </c>
      <c r="BM31" s="39">
        <f t="shared" si="2"/>
        <v>3150843.35</v>
      </c>
    </row>
    <row r="32" spans="1:65" x14ac:dyDescent="0.25">
      <c r="A32" s="24" t="s">
        <v>276</v>
      </c>
      <c r="B32" s="24">
        <v>12199</v>
      </c>
      <c r="C32" s="24">
        <v>10358</v>
      </c>
      <c r="D32" s="24"/>
      <c r="E32" s="24"/>
      <c r="F32" s="24"/>
      <c r="G32" s="24"/>
      <c r="H32" s="24">
        <v>224090</v>
      </c>
      <c r="I32" s="24">
        <v>243785</v>
      </c>
      <c r="J32" s="24"/>
      <c r="K32" s="24"/>
      <c r="L32" s="24">
        <v>150157</v>
      </c>
      <c r="M32" s="24">
        <v>155532</v>
      </c>
      <c r="N32" s="24">
        <v>177535</v>
      </c>
      <c r="O32" s="24">
        <v>179236</v>
      </c>
      <c r="P32" s="24"/>
      <c r="Q32" s="24"/>
      <c r="R32" s="24">
        <v>6636.67</v>
      </c>
      <c r="S32" s="24">
        <v>6878.95</v>
      </c>
      <c r="T32" s="24">
        <v>81057.600000000006</v>
      </c>
      <c r="U32" s="24">
        <v>83714.81</v>
      </c>
      <c r="V32" s="24">
        <v>132643</v>
      </c>
      <c r="W32" s="24">
        <v>141270</v>
      </c>
      <c r="X32" s="24">
        <v>413014</v>
      </c>
      <c r="Y32" s="24">
        <v>446538</v>
      </c>
      <c r="Z32" s="24"/>
      <c r="AA32" s="24">
        <v>187746</v>
      </c>
      <c r="AB32" s="24">
        <v>19335</v>
      </c>
      <c r="AC32" s="24">
        <v>19312</v>
      </c>
      <c r="AD32" s="24">
        <v>52104</v>
      </c>
      <c r="AE32" s="24">
        <v>53341</v>
      </c>
      <c r="AF32" s="24">
        <v>62231</v>
      </c>
      <c r="AG32" s="24">
        <v>54428</v>
      </c>
      <c r="AH32" s="24"/>
      <c r="AI32" s="24"/>
      <c r="AJ32" s="24"/>
      <c r="AK32" s="24">
        <v>217166.04</v>
      </c>
      <c r="AL32" s="24">
        <v>1849</v>
      </c>
      <c r="AM32" s="24">
        <v>2221</v>
      </c>
      <c r="AN32" s="24"/>
      <c r="AO32" s="24"/>
      <c r="AP32" s="24">
        <v>14335</v>
      </c>
      <c r="AQ32" s="24">
        <v>13223</v>
      </c>
      <c r="AR32" s="24">
        <v>143953</v>
      </c>
      <c r="AS32" s="24">
        <v>167118</v>
      </c>
      <c r="AT32" s="24">
        <v>90378</v>
      </c>
      <c r="AU32" s="24">
        <v>95900</v>
      </c>
      <c r="AV32" s="24">
        <v>93738</v>
      </c>
      <c r="AW32" s="24">
        <v>98013</v>
      </c>
      <c r="AX32" s="24">
        <v>80415</v>
      </c>
      <c r="AY32" s="24">
        <v>84108</v>
      </c>
      <c r="AZ32" s="24"/>
      <c r="BA32" s="24"/>
      <c r="BB32" s="24">
        <v>247238</v>
      </c>
      <c r="BC32" s="24">
        <v>267373</v>
      </c>
      <c r="BD32" s="24"/>
      <c r="BE32" s="24">
        <v>499636</v>
      </c>
      <c r="BF32" s="24">
        <v>0</v>
      </c>
      <c r="BG32" s="24">
        <v>0</v>
      </c>
      <c r="BH32" s="24"/>
      <c r="BI32" s="24"/>
      <c r="BJ32" s="24">
        <v>74699</v>
      </c>
      <c r="BK32" s="24">
        <v>62742</v>
      </c>
      <c r="BL32" s="37">
        <f t="shared" si="2"/>
        <v>2077607.27</v>
      </c>
      <c r="BM32" s="37">
        <f t="shared" si="2"/>
        <v>3089639.8</v>
      </c>
    </row>
    <row r="33" spans="1:65" x14ac:dyDescent="0.25">
      <c r="A33" s="36" t="s">
        <v>277</v>
      </c>
      <c r="B33" s="24">
        <v>15382</v>
      </c>
      <c r="C33" s="24">
        <v>15382</v>
      </c>
      <c r="D33" s="24"/>
      <c r="E33" s="24"/>
      <c r="F33" s="24"/>
      <c r="G33" s="24"/>
      <c r="H33" s="24">
        <v>215499</v>
      </c>
      <c r="I33" s="24">
        <v>215499</v>
      </c>
      <c r="J33" s="24"/>
      <c r="K33" s="24"/>
      <c r="L33" s="24">
        <v>156752</v>
      </c>
      <c r="M33" s="24">
        <v>156752</v>
      </c>
      <c r="N33" s="24">
        <v>185433</v>
      </c>
      <c r="O33" s="24">
        <v>185433</v>
      </c>
      <c r="P33" s="24"/>
      <c r="Q33" s="24"/>
      <c r="R33" s="24">
        <v>8700.4</v>
      </c>
      <c r="S33" s="24">
        <v>8700.4</v>
      </c>
      <c r="T33" s="24">
        <v>73628.289999999994</v>
      </c>
      <c r="U33" s="24">
        <v>73628.289999999994</v>
      </c>
      <c r="V33" s="24">
        <v>-148822</v>
      </c>
      <c r="W33" s="24">
        <v>-148822</v>
      </c>
      <c r="X33" s="24">
        <v>386309</v>
      </c>
      <c r="Y33" s="24">
        <v>386309</v>
      </c>
      <c r="Z33" s="24">
        <v>3165</v>
      </c>
      <c r="AA33" s="24">
        <v>175649</v>
      </c>
      <c r="AB33" s="24">
        <v>19945</v>
      </c>
      <c r="AC33" s="24">
        <v>19945</v>
      </c>
      <c r="AD33" s="24">
        <v>56627</v>
      </c>
      <c r="AE33" s="24">
        <v>56627</v>
      </c>
      <c r="AF33" s="24">
        <v>-70361</v>
      </c>
      <c r="AG33" s="24">
        <v>-70361</v>
      </c>
      <c r="AH33" s="24"/>
      <c r="AI33" s="24"/>
      <c r="AJ33" s="24">
        <v>387.18</v>
      </c>
      <c r="AK33" s="24">
        <v>218770.67</v>
      </c>
      <c r="AL33" s="24">
        <v>-1113</v>
      </c>
      <c r="AM33" s="24">
        <v>-1113</v>
      </c>
      <c r="AN33" s="24"/>
      <c r="AO33" s="24"/>
      <c r="AP33" s="24">
        <v>17236</v>
      </c>
      <c r="AQ33" s="24">
        <v>17236</v>
      </c>
      <c r="AR33" s="24">
        <v>136393</v>
      </c>
      <c r="AS33" s="24">
        <v>136393</v>
      </c>
      <c r="AT33" s="24">
        <v>96399</v>
      </c>
      <c r="AU33" s="24">
        <v>96399</v>
      </c>
      <c r="AV33" s="24">
        <v>82472</v>
      </c>
      <c r="AW33" s="24">
        <v>82472</v>
      </c>
      <c r="AX33" s="24">
        <v>91029</v>
      </c>
      <c r="AY33" s="24">
        <v>91029</v>
      </c>
      <c r="AZ33" s="24"/>
      <c r="BA33" s="24"/>
      <c r="BB33" s="24">
        <v>242410</v>
      </c>
      <c r="BC33" s="24">
        <v>242410</v>
      </c>
      <c r="BD33" s="24"/>
      <c r="BE33" s="24">
        <v>461999</v>
      </c>
      <c r="BF33" s="24">
        <v>1637</v>
      </c>
      <c r="BG33" s="24">
        <v>4647</v>
      </c>
      <c r="BH33" s="24"/>
      <c r="BI33" s="24"/>
      <c r="BJ33" s="24">
        <v>-89425</v>
      </c>
      <c r="BK33" s="24">
        <v>-89425</v>
      </c>
      <c r="BL33" s="37">
        <f t="shared" si="2"/>
        <v>1479682.87</v>
      </c>
      <c r="BM33" s="37">
        <f t="shared" si="2"/>
        <v>2335559.36</v>
      </c>
    </row>
    <row r="34" spans="1:65" s="4" customFormat="1" x14ac:dyDescent="0.25">
      <c r="A34" s="26" t="s">
        <v>192</v>
      </c>
      <c r="B34" s="26">
        <v>5742</v>
      </c>
      <c r="C34" s="26">
        <v>10426</v>
      </c>
      <c r="D34" s="26"/>
      <c r="E34" s="26"/>
      <c r="F34" s="26"/>
      <c r="G34" s="26"/>
      <c r="H34" s="26">
        <v>112167</v>
      </c>
      <c r="I34" s="26">
        <v>222761</v>
      </c>
      <c r="J34" s="26"/>
      <c r="K34" s="26"/>
      <c r="L34" s="26">
        <v>77187</v>
      </c>
      <c r="M34" s="26">
        <v>149814</v>
      </c>
      <c r="N34" s="26">
        <v>90211</v>
      </c>
      <c r="O34" s="26">
        <v>171997</v>
      </c>
      <c r="P34" s="26"/>
      <c r="Q34" s="26"/>
      <c r="R34" s="26">
        <v>3658.77</v>
      </c>
      <c r="S34" s="26">
        <v>7025.2</v>
      </c>
      <c r="T34" s="26">
        <v>39987.25</v>
      </c>
      <c r="U34" s="26">
        <v>79204.820000000007</v>
      </c>
      <c r="V34" s="26">
        <v>70423</v>
      </c>
      <c r="W34" s="26">
        <v>135813</v>
      </c>
      <c r="X34" s="26">
        <v>211327</v>
      </c>
      <c r="Y34" s="26">
        <v>414877</v>
      </c>
      <c r="Z34" s="26">
        <v>87946</v>
      </c>
      <c r="AA34" s="26">
        <v>173277</v>
      </c>
      <c r="AB34" s="26">
        <v>9565</v>
      </c>
      <c r="AC34" s="26">
        <v>18058</v>
      </c>
      <c r="AD34" s="26">
        <v>26810</v>
      </c>
      <c r="AE34" s="26">
        <v>51346</v>
      </c>
      <c r="AF34" s="26">
        <v>30798</v>
      </c>
      <c r="AG34" s="26">
        <v>56972</v>
      </c>
      <c r="AH34" s="26"/>
      <c r="AI34" s="26"/>
      <c r="AJ34" s="26">
        <v>111439.25</v>
      </c>
      <c r="AK34" s="26">
        <v>201544.77</v>
      </c>
      <c r="AL34" s="26">
        <v>910</v>
      </c>
      <c r="AM34" s="26">
        <v>1917</v>
      </c>
      <c r="AN34" s="26"/>
      <c r="AO34" s="26"/>
      <c r="AP34" s="26">
        <v>7360</v>
      </c>
      <c r="AQ34" s="26">
        <v>14004</v>
      </c>
      <c r="AR34" s="26">
        <v>75513</v>
      </c>
      <c r="AS34" s="26">
        <v>150286</v>
      </c>
      <c r="AT34" s="26">
        <v>46132</v>
      </c>
      <c r="AU34" s="26">
        <v>90100</v>
      </c>
      <c r="AV34" s="26">
        <v>44979</v>
      </c>
      <c r="AW34" s="26">
        <v>87132</v>
      </c>
      <c r="AX34" s="26">
        <v>41714</v>
      </c>
      <c r="AY34" s="26">
        <v>80479</v>
      </c>
      <c r="AZ34" s="26"/>
      <c r="BA34" s="26"/>
      <c r="BB34" s="26">
        <v>126742</v>
      </c>
      <c r="BC34" s="26">
        <v>246994</v>
      </c>
      <c r="BD34" s="26"/>
      <c r="BE34" s="26">
        <v>462790</v>
      </c>
      <c r="BF34" s="26">
        <v>82104</v>
      </c>
      <c r="BG34" s="26">
        <v>147961</v>
      </c>
      <c r="BH34" s="26">
        <v>131135</v>
      </c>
      <c r="BI34" s="26">
        <v>235896</v>
      </c>
      <c r="BJ34" s="26">
        <v>37157</v>
      </c>
      <c r="BK34" s="26">
        <v>66855</v>
      </c>
      <c r="BL34" s="39">
        <f t="shared" si="2"/>
        <v>1471007.27</v>
      </c>
      <c r="BM34" s="39">
        <f t="shared" si="2"/>
        <v>3277529.79</v>
      </c>
    </row>
    <row r="36" spans="1:65" x14ac:dyDescent="0.25">
      <c r="A36" s="7" t="s">
        <v>186</v>
      </c>
    </row>
    <row r="37" spans="1:65" x14ac:dyDescent="0.25">
      <c r="A37" s="42" t="s">
        <v>0</v>
      </c>
      <c r="B37" s="94" t="s">
        <v>1</v>
      </c>
      <c r="C37" s="95"/>
      <c r="D37" s="94" t="s">
        <v>232</v>
      </c>
      <c r="E37" s="95"/>
      <c r="F37" s="94" t="s">
        <v>2</v>
      </c>
      <c r="G37" s="95"/>
      <c r="H37" s="94" t="s">
        <v>3</v>
      </c>
      <c r="I37" s="95"/>
      <c r="J37" s="94" t="s">
        <v>241</v>
      </c>
      <c r="K37" s="95"/>
      <c r="L37" s="94" t="s">
        <v>233</v>
      </c>
      <c r="M37" s="95"/>
      <c r="N37" s="94" t="s">
        <v>246</v>
      </c>
      <c r="O37" s="95"/>
      <c r="P37" s="94" t="s">
        <v>5</v>
      </c>
      <c r="Q37" s="95"/>
      <c r="R37" s="94" t="s">
        <v>4</v>
      </c>
      <c r="S37" s="95"/>
      <c r="T37" s="94" t="s">
        <v>6</v>
      </c>
      <c r="U37" s="95"/>
      <c r="V37" s="94" t="s">
        <v>7</v>
      </c>
      <c r="W37" s="95"/>
      <c r="X37" s="94" t="s">
        <v>8</v>
      </c>
      <c r="Y37" s="95"/>
      <c r="Z37" s="94" t="s">
        <v>9</v>
      </c>
      <c r="AA37" s="95"/>
      <c r="AB37" s="94" t="s">
        <v>240</v>
      </c>
      <c r="AC37" s="95"/>
      <c r="AD37" s="94" t="s">
        <v>10</v>
      </c>
      <c r="AE37" s="95"/>
      <c r="AF37" s="94" t="s">
        <v>11</v>
      </c>
      <c r="AG37" s="95"/>
      <c r="AH37" s="94" t="s">
        <v>234</v>
      </c>
      <c r="AI37" s="95"/>
      <c r="AJ37" s="94" t="s">
        <v>12</v>
      </c>
      <c r="AK37" s="95"/>
      <c r="AL37" s="94" t="s">
        <v>235</v>
      </c>
      <c r="AM37" s="95"/>
      <c r="AN37" s="94" t="s">
        <v>300</v>
      </c>
      <c r="AO37" s="95"/>
      <c r="AP37" s="94" t="s">
        <v>236</v>
      </c>
      <c r="AQ37" s="95"/>
      <c r="AR37" s="94" t="s">
        <v>239</v>
      </c>
      <c r="AS37" s="95"/>
      <c r="AT37" s="94" t="s">
        <v>13</v>
      </c>
      <c r="AU37" s="95"/>
      <c r="AV37" s="94" t="s">
        <v>14</v>
      </c>
      <c r="AW37" s="95"/>
      <c r="AX37" s="94" t="s">
        <v>15</v>
      </c>
      <c r="AY37" s="95"/>
      <c r="AZ37" s="94" t="s">
        <v>16</v>
      </c>
      <c r="BA37" s="95"/>
      <c r="BB37" s="94" t="s">
        <v>17</v>
      </c>
      <c r="BC37" s="95"/>
      <c r="BD37" s="94" t="s">
        <v>237</v>
      </c>
      <c r="BE37" s="95"/>
      <c r="BF37" s="94" t="s">
        <v>238</v>
      </c>
      <c r="BG37" s="95"/>
      <c r="BH37" s="94" t="s">
        <v>18</v>
      </c>
      <c r="BI37" s="95"/>
      <c r="BJ37" s="94" t="s">
        <v>19</v>
      </c>
      <c r="BK37" s="95"/>
      <c r="BL37" s="96" t="s">
        <v>20</v>
      </c>
      <c r="BM37" s="97"/>
    </row>
    <row r="38" spans="1:65" ht="30" x14ac:dyDescent="0.25">
      <c r="A38" s="42"/>
      <c r="B38" s="34" t="s">
        <v>298</v>
      </c>
      <c r="C38" s="35" t="s">
        <v>299</v>
      </c>
      <c r="D38" s="34" t="s">
        <v>298</v>
      </c>
      <c r="E38" s="35" t="s">
        <v>299</v>
      </c>
      <c r="F38" s="34" t="s">
        <v>298</v>
      </c>
      <c r="G38" s="35" t="s">
        <v>299</v>
      </c>
      <c r="H38" s="34" t="s">
        <v>298</v>
      </c>
      <c r="I38" s="35" t="s">
        <v>299</v>
      </c>
      <c r="J38" s="34" t="s">
        <v>298</v>
      </c>
      <c r="K38" s="35" t="s">
        <v>299</v>
      </c>
      <c r="L38" s="34" t="s">
        <v>298</v>
      </c>
      <c r="M38" s="35" t="s">
        <v>299</v>
      </c>
      <c r="N38" s="34" t="s">
        <v>298</v>
      </c>
      <c r="O38" s="35" t="s">
        <v>299</v>
      </c>
      <c r="P38" s="34" t="s">
        <v>298</v>
      </c>
      <c r="Q38" s="35" t="s">
        <v>299</v>
      </c>
      <c r="R38" s="34" t="s">
        <v>298</v>
      </c>
      <c r="S38" s="35" t="s">
        <v>299</v>
      </c>
      <c r="T38" s="34" t="s">
        <v>298</v>
      </c>
      <c r="U38" s="35" t="s">
        <v>299</v>
      </c>
      <c r="V38" s="34" t="s">
        <v>298</v>
      </c>
      <c r="W38" s="35" t="s">
        <v>299</v>
      </c>
      <c r="X38" s="34" t="s">
        <v>298</v>
      </c>
      <c r="Y38" s="35" t="s">
        <v>299</v>
      </c>
      <c r="Z38" s="34" t="s">
        <v>298</v>
      </c>
      <c r="AA38" s="35" t="s">
        <v>299</v>
      </c>
      <c r="AB38" s="34" t="s">
        <v>298</v>
      </c>
      <c r="AC38" s="35" t="s">
        <v>299</v>
      </c>
      <c r="AD38" s="34" t="s">
        <v>298</v>
      </c>
      <c r="AE38" s="35" t="s">
        <v>299</v>
      </c>
      <c r="AF38" s="34" t="s">
        <v>298</v>
      </c>
      <c r="AG38" s="35" t="s">
        <v>299</v>
      </c>
      <c r="AH38" s="34" t="s">
        <v>298</v>
      </c>
      <c r="AI38" s="35" t="s">
        <v>299</v>
      </c>
      <c r="AJ38" s="34" t="s">
        <v>298</v>
      </c>
      <c r="AK38" s="35" t="s">
        <v>299</v>
      </c>
      <c r="AL38" s="34" t="s">
        <v>298</v>
      </c>
      <c r="AM38" s="35" t="s">
        <v>299</v>
      </c>
      <c r="AN38" s="34" t="s">
        <v>298</v>
      </c>
      <c r="AO38" s="35" t="s">
        <v>299</v>
      </c>
      <c r="AP38" s="34" t="s">
        <v>298</v>
      </c>
      <c r="AQ38" s="35" t="s">
        <v>299</v>
      </c>
      <c r="AR38" s="34" t="s">
        <v>298</v>
      </c>
      <c r="AS38" s="35" t="s">
        <v>299</v>
      </c>
      <c r="AT38" s="34" t="s">
        <v>298</v>
      </c>
      <c r="AU38" s="35" t="s">
        <v>299</v>
      </c>
      <c r="AV38" s="34" t="s">
        <v>298</v>
      </c>
      <c r="AW38" s="35" t="s">
        <v>299</v>
      </c>
      <c r="AX38" s="34" t="s">
        <v>298</v>
      </c>
      <c r="AY38" s="35" t="s">
        <v>299</v>
      </c>
      <c r="AZ38" s="34" t="s">
        <v>298</v>
      </c>
      <c r="BA38" s="35" t="s">
        <v>299</v>
      </c>
      <c r="BB38" s="34" t="s">
        <v>298</v>
      </c>
      <c r="BC38" s="35" t="s">
        <v>299</v>
      </c>
      <c r="BD38" s="34" t="s">
        <v>298</v>
      </c>
      <c r="BE38" s="35" t="s">
        <v>299</v>
      </c>
      <c r="BF38" s="34" t="s">
        <v>298</v>
      </c>
      <c r="BG38" s="35" t="s">
        <v>299</v>
      </c>
      <c r="BH38" s="34" t="s">
        <v>298</v>
      </c>
      <c r="BI38" s="35" t="s">
        <v>299</v>
      </c>
      <c r="BJ38" s="34" t="s">
        <v>298</v>
      </c>
      <c r="BK38" s="35" t="s">
        <v>299</v>
      </c>
      <c r="BL38" s="34" t="s">
        <v>298</v>
      </c>
      <c r="BM38" s="35" t="s">
        <v>299</v>
      </c>
    </row>
    <row r="39" spans="1:65" x14ac:dyDescent="0.25">
      <c r="A39" s="24" t="s">
        <v>272</v>
      </c>
      <c r="B39" s="24">
        <v>18362</v>
      </c>
      <c r="C39" s="24">
        <v>34731</v>
      </c>
      <c r="D39" s="24">
        <v>58472</v>
      </c>
      <c r="E39" s="24">
        <v>115464</v>
      </c>
      <c r="F39" s="24"/>
      <c r="G39" s="24"/>
      <c r="H39" s="24">
        <v>91563</v>
      </c>
      <c r="I39" s="24">
        <v>163377</v>
      </c>
      <c r="J39" s="24">
        <v>117953</v>
      </c>
      <c r="K39" s="24">
        <v>214452</v>
      </c>
      <c r="L39" s="24">
        <v>14512</v>
      </c>
      <c r="M39" s="24">
        <v>28317</v>
      </c>
      <c r="N39" s="24">
        <v>16891</v>
      </c>
      <c r="O39" s="24">
        <v>33360</v>
      </c>
      <c r="P39" s="24"/>
      <c r="Q39" s="24"/>
      <c r="R39" s="24">
        <v>4103.07</v>
      </c>
      <c r="S39" s="24">
        <v>6995.71</v>
      </c>
      <c r="T39" s="24">
        <v>14117.01</v>
      </c>
      <c r="U39" s="24">
        <v>28658.55</v>
      </c>
      <c r="V39" s="24">
        <v>112655</v>
      </c>
      <c r="W39" s="24">
        <v>219919</v>
      </c>
      <c r="X39" s="24">
        <v>113210</v>
      </c>
      <c r="Y39" s="24">
        <v>242720</v>
      </c>
      <c r="Z39" s="24">
        <v>83555</v>
      </c>
      <c r="AA39" s="24">
        <v>125966</v>
      </c>
      <c r="AB39" s="24">
        <v>10375</v>
      </c>
      <c r="AC39" s="24">
        <v>17624</v>
      </c>
      <c r="AD39" s="24">
        <v>5988</v>
      </c>
      <c r="AE39" s="24">
        <v>16758</v>
      </c>
      <c r="AF39" s="24">
        <v>4785</v>
      </c>
      <c r="AG39" s="24">
        <v>9220</v>
      </c>
      <c r="AH39" s="24">
        <v>30030.31</v>
      </c>
      <c r="AI39" s="24">
        <v>58112.22</v>
      </c>
      <c r="AJ39" s="24">
        <v>268218.55</v>
      </c>
      <c r="AK39" s="24">
        <v>405611.09</v>
      </c>
      <c r="AL39" s="24">
        <v>853</v>
      </c>
      <c r="AM39" s="24">
        <v>1970</v>
      </c>
      <c r="AN39" s="24">
        <v>94131</v>
      </c>
      <c r="AO39" s="24">
        <v>170864</v>
      </c>
      <c r="AP39" s="24">
        <v>241</v>
      </c>
      <c r="AQ39" s="24">
        <v>591</v>
      </c>
      <c r="AR39" s="24">
        <v>30990</v>
      </c>
      <c r="AS39" s="24">
        <v>74996</v>
      </c>
      <c r="AT39" s="24">
        <v>10660</v>
      </c>
      <c r="AU39" s="24">
        <v>23118</v>
      </c>
      <c r="AV39" s="24">
        <v>49043</v>
      </c>
      <c r="AW39" s="24">
        <v>89338</v>
      </c>
      <c r="AX39" s="24">
        <v>68</v>
      </c>
      <c r="AY39" s="24">
        <v>93</v>
      </c>
      <c r="AZ39" s="24">
        <v>314351</v>
      </c>
      <c r="BA39" s="24">
        <v>557126</v>
      </c>
      <c r="BB39" s="24">
        <v>51768</v>
      </c>
      <c r="BC39" s="24">
        <v>95916</v>
      </c>
      <c r="BD39" s="24"/>
      <c r="BE39" s="24">
        <v>866515</v>
      </c>
      <c r="BF39" s="24">
        <v>259286</v>
      </c>
      <c r="BG39" s="24">
        <v>444643</v>
      </c>
      <c r="BH39" s="24">
        <v>186410</v>
      </c>
      <c r="BI39" s="24">
        <v>377942</v>
      </c>
      <c r="BJ39" s="24">
        <v>9052</v>
      </c>
      <c r="BK39" s="24">
        <v>18209</v>
      </c>
      <c r="BL39" s="37">
        <f t="shared" ref="BL39:BM45" si="3">SUM(B39+D39+F39+H39+J39+L39+N39+P39+R39+T39+V39+X39+Z39+AB39+AD39+AF39+AH39+AJ39+AL39+AN39+AP39+AR39+AT39+AV39+AX39+AZ39+BB39+BD39+BF39+BH39+BJ39)</f>
        <v>1971642.9400000002</v>
      </c>
      <c r="BM39" s="37">
        <f t="shared" si="3"/>
        <v>4442606.57</v>
      </c>
    </row>
    <row r="40" spans="1:65" x14ac:dyDescent="0.25">
      <c r="A40" s="24" t="s">
        <v>273</v>
      </c>
      <c r="B40" s="24"/>
      <c r="C40" s="24"/>
      <c r="D40" s="24"/>
      <c r="E40" s="24"/>
      <c r="F40" s="24"/>
      <c r="G40" s="24"/>
      <c r="H40" s="24"/>
      <c r="I40" s="24"/>
      <c r="J40" s="24">
        <v>2453</v>
      </c>
      <c r="K40" s="24">
        <v>6106</v>
      </c>
      <c r="L40" s="24"/>
      <c r="M40" s="24"/>
      <c r="N40" s="24">
        <v>1065</v>
      </c>
      <c r="O40" s="24">
        <v>2860</v>
      </c>
      <c r="P40" s="24"/>
      <c r="Q40" s="24"/>
      <c r="R40" s="24">
        <v>-1.55</v>
      </c>
      <c r="S40" s="24">
        <v>226.08</v>
      </c>
      <c r="T40" s="24"/>
      <c r="U40" s="24"/>
      <c r="V40" s="24"/>
      <c r="W40" s="24"/>
      <c r="X40" s="24">
        <v>4589</v>
      </c>
      <c r="Y40" s="24">
        <v>9055</v>
      </c>
      <c r="Z40" s="24">
        <v>1106</v>
      </c>
      <c r="AA40" s="24">
        <v>1106</v>
      </c>
      <c r="AB40" s="24"/>
      <c r="AC40" s="24"/>
      <c r="AD40" s="24"/>
      <c r="AE40" s="24"/>
      <c r="AF40" s="24"/>
      <c r="AG40" s="24"/>
      <c r="AH40" s="24"/>
      <c r="AI40" s="24"/>
      <c r="AJ40" s="24">
        <v>3918.08</v>
      </c>
      <c r="AK40" s="24">
        <v>3918.08</v>
      </c>
      <c r="AL40" s="24"/>
      <c r="AM40" s="24"/>
      <c r="AN40" s="24"/>
      <c r="AO40" s="24"/>
      <c r="AP40" s="24">
        <v>0</v>
      </c>
      <c r="AQ40" s="24">
        <v>0</v>
      </c>
      <c r="AR40" s="24"/>
      <c r="AS40" s="24"/>
      <c r="AT40" s="24"/>
      <c r="AU40" s="24"/>
      <c r="AV40" s="24">
        <v>646</v>
      </c>
      <c r="AW40" s="24">
        <v>1686</v>
      </c>
      <c r="AX40" s="24"/>
      <c r="AY40" s="24"/>
      <c r="AZ40" s="24"/>
      <c r="BA40" s="24"/>
      <c r="BB40" s="24">
        <v>94</v>
      </c>
      <c r="BC40" s="24">
        <v>307</v>
      </c>
      <c r="BD40" s="24"/>
      <c r="BE40" s="24">
        <v>2721</v>
      </c>
      <c r="BF40" s="24">
        <v>8922</v>
      </c>
      <c r="BG40" s="24">
        <v>10574</v>
      </c>
      <c r="BH40" s="24"/>
      <c r="BI40" s="24"/>
      <c r="BJ40" s="24">
        <v>4892</v>
      </c>
      <c r="BK40" s="24">
        <v>4892</v>
      </c>
      <c r="BL40" s="37">
        <f t="shared" si="3"/>
        <v>27683.53</v>
      </c>
      <c r="BM40" s="37">
        <f t="shared" si="3"/>
        <v>43451.16</v>
      </c>
    </row>
    <row r="41" spans="1:65" x14ac:dyDescent="0.25">
      <c r="A41" s="24" t="s">
        <v>274</v>
      </c>
      <c r="B41" s="24">
        <v>736</v>
      </c>
      <c r="C41" s="24">
        <v>1403</v>
      </c>
      <c r="D41" s="24">
        <v>11234</v>
      </c>
      <c r="E41" s="24">
        <v>21341</v>
      </c>
      <c r="F41" s="24"/>
      <c r="G41" s="24"/>
      <c r="H41" s="24">
        <v>-37416</v>
      </c>
      <c r="I41" s="24">
        <v>-53831</v>
      </c>
      <c r="J41" s="24">
        <v>16107</v>
      </c>
      <c r="K41" s="24">
        <v>30121</v>
      </c>
      <c r="L41" s="24">
        <v>3486</v>
      </c>
      <c r="M41" s="24">
        <v>6365</v>
      </c>
      <c r="N41" s="24">
        <v>678</v>
      </c>
      <c r="O41" s="24">
        <v>1365</v>
      </c>
      <c r="P41" s="24"/>
      <c r="Q41" s="24"/>
      <c r="R41" s="24">
        <v>79.709999999999994</v>
      </c>
      <c r="S41" s="24">
        <v>276.95</v>
      </c>
      <c r="T41" s="24">
        <v>4057.77</v>
      </c>
      <c r="U41" s="24">
        <v>6284.55</v>
      </c>
      <c r="V41" s="24">
        <v>-38839</v>
      </c>
      <c r="W41" s="24">
        <v>-72303</v>
      </c>
      <c r="X41" s="24">
        <v>17745</v>
      </c>
      <c r="Y41" s="24">
        <v>39767</v>
      </c>
      <c r="Z41" s="24">
        <v>18557</v>
      </c>
      <c r="AA41" s="24">
        <v>20768</v>
      </c>
      <c r="AB41" s="24">
        <v>2767</v>
      </c>
      <c r="AC41" s="24">
        <v>3969</v>
      </c>
      <c r="AD41" s="24">
        <v>299</v>
      </c>
      <c r="AE41" s="24">
        <v>864</v>
      </c>
      <c r="AF41" s="24">
        <v>-190</v>
      </c>
      <c r="AG41" s="24">
        <v>-411</v>
      </c>
      <c r="AH41" s="24">
        <v>1229.8599999999999</v>
      </c>
      <c r="AI41" s="24">
        <v>2394.6</v>
      </c>
      <c r="AJ41" s="24">
        <v>84545.3</v>
      </c>
      <c r="AK41" s="24">
        <v>97786.92</v>
      </c>
      <c r="AL41" s="24">
        <v>-37</v>
      </c>
      <c r="AM41" s="24">
        <v>-83</v>
      </c>
      <c r="AN41" s="24">
        <v>20813</v>
      </c>
      <c r="AO41" s="24">
        <v>38768</v>
      </c>
      <c r="AP41" s="24">
        <v>10</v>
      </c>
      <c r="AQ41" s="24">
        <v>24</v>
      </c>
      <c r="AR41" s="24">
        <v>4212</v>
      </c>
      <c r="AS41" s="24">
        <v>8828</v>
      </c>
      <c r="AT41" s="24">
        <v>1421</v>
      </c>
      <c r="AU41" s="24">
        <v>2782</v>
      </c>
      <c r="AV41" s="24">
        <v>2493</v>
      </c>
      <c r="AW41" s="24">
        <v>5415</v>
      </c>
      <c r="AX41" s="24">
        <v>24</v>
      </c>
      <c r="AY41" s="24">
        <v>34</v>
      </c>
      <c r="AZ41" s="24">
        <v>14226</v>
      </c>
      <c r="BA41" s="24">
        <v>25253</v>
      </c>
      <c r="BB41" s="24">
        <v>6409</v>
      </c>
      <c r="BC41" s="24">
        <v>12576</v>
      </c>
      <c r="BD41" s="24"/>
      <c r="BE41" s="24">
        <v>93789</v>
      </c>
      <c r="BF41" s="24">
        <v>7804</v>
      </c>
      <c r="BG41" s="24">
        <v>14804</v>
      </c>
      <c r="BH41" s="24">
        <v>7476</v>
      </c>
      <c r="BI41" s="24">
        <v>15436</v>
      </c>
      <c r="BJ41" s="24">
        <v>429</v>
      </c>
      <c r="BK41" s="24">
        <v>881</v>
      </c>
      <c r="BL41" s="37">
        <f t="shared" si="3"/>
        <v>150356.64000000001</v>
      </c>
      <c r="BM41" s="37">
        <f t="shared" si="3"/>
        <v>324668.02</v>
      </c>
    </row>
    <row r="42" spans="1:65" s="4" customFormat="1" x14ac:dyDescent="0.25">
      <c r="A42" s="26" t="s">
        <v>275</v>
      </c>
      <c r="B42" s="26">
        <v>17626</v>
      </c>
      <c r="C42" s="26">
        <v>33328</v>
      </c>
      <c r="D42" s="26">
        <v>47238</v>
      </c>
      <c r="E42" s="26">
        <v>94123</v>
      </c>
      <c r="F42" s="26"/>
      <c r="G42" s="26"/>
      <c r="H42" s="26">
        <v>54147</v>
      </c>
      <c r="I42" s="26">
        <v>109546</v>
      </c>
      <c r="J42" s="26">
        <v>104299</v>
      </c>
      <c r="K42" s="26">
        <v>190437</v>
      </c>
      <c r="L42" s="26">
        <v>11025</v>
      </c>
      <c r="M42" s="26">
        <v>21951</v>
      </c>
      <c r="N42" s="26">
        <v>17278</v>
      </c>
      <c r="O42" s="26">
        <v>34855</v>
      </c>
      <c r="P42" s="26"/>
      <c r="Q42" s="26"/>
      <c r="R42" s="26">
        <v>4021.81</v>
      </c>
      <c r="S42" s="26">
        <v>6944.84</v>
      </c>
      <c r="T42" s="26">
        <v>10059.24</v>
      </c>
      <c r="U42" s="26">
        <v>22373.99</v>
      </c>
      <c r="V42" s="26">
        <v>73816</v>
      </c>
      <c r="W42" s="26">
        <v>147616</v>
      </c>
      <c r="X42" s="26">
        <v>100054</v>
      </c>
      <c r="Y42" s="26">
        <v>212008</v>
      </c>
      <c r="Z42" s="26">
        <v>66104</v>
      </c>
      <c r="AA42" s="26">
        <v>106304</v>
      </c>
      <c r="AB42" s="26">
        <v>7608</v>
      </c>
      <c r="AC42" s="26">
        <v>13655</v>
      </c>
      <c r="AD42" s="26">
        <v>5689</v>
      </c>
      <c r="AE42" s="26">
        <v>15894</v>
      </c>
      <c r="AF42" s="26">
        <v>4594</v>
      </c>
      <c r="AG42" s="26">
        <v>8810</v>
      </c>
      <c r="AH42" s="26">
        <v>28800.45</v>
      </c>
      <c r="AI42" s="26">
        <v>55717.62</v>
      </c>
      <c r="AJ42" s="26">
        <v>187591.33</v>
      </c>
      <c r="AK42" s="26">
        <v>311742.26</v>
      </c>
      <c r="AL42" s="26">
        <v>816</v>
      </c>
      <c r="AM42" s="26">
        <v>1887</v>
      </c>
      <c r="AN42" s="26">
        <v>73318</v>
      </c>
      <c r="AO42" s="26">
        <v>132096</v>
      </c>
      <c r="AP42" s="26">
        <v>232</v>
      </c>
      <c r="AQ42" s="26">
        <v>568</v>
      </c>
      <c r="AR42" s="26">
        <v>26778</v>
      </c>
      <c r="AS42" s="26">
        <v>66168</v>
      </c>
      <c r="AT42" s="26">
        <v>9239</v>
      </c>
      <c r="AU42" s="26">
        <v>20336</v>
      </c>
      <c r="AV42" s="26">
        <v>47197</v>
      </c>
      <c r="AW42" s="26">
        <v>85609</v>
      </c>
      <c r="AX42" s="26">
        <v>44</v>
      </c>
      <c r="AY42" s="26">
        <v>59</v>
      </c>
      <c r="AZ42" s="26">
        <v>300125</v>
      </c>
      <c r="BA42" s="26">
        <v>531873</v>
      </c>
      <c r="BB42" s="26">
        <v>45453</v>
      </c>
      <c r="BC42" s="26">
        <v>83647</v>
      </c>
      <c r="BD42" s="26"/>
      <c r="BE42" s="26">
        <v>775447</v>
      </c>
      <c r="BF42" s="26">
        <v>260404</v>
      </c>
      <c r="BG42" s="26">
        <v>440413</v>
      </c>
      <c r="BH42" s="26">
        <v>178934</v>
      </c>
      <c r="BI42" s="26">
        <v>362506</v>
      </c>
      <c r="BJ42" s="26">
        <v>13515</v>
      </c>
      <c r="BK42" s="26">
        <v>22220</v>
      </c>
      <c r="BL42" s="39">
        <f t="shared" si="3"/>
        <v>1696005.83</v>
      </c>
      <c r="BM42" s="39">
        <f t="shared" si="3"/>
        <v>3908134.71</v>
      </c>
    </row>
    <row r="43" spans="1:65" x14ac:dyDescent="0.25">
      <c r="A43" s="24" t="s">
        <v>276</v>
      </c>
      <c r="B43" s="24">
        <v>19856</v>
      </c>
      <c r="C43" s="24">
        <v>13974</v>
      </c>
      <c r="D43" s="24">
        <v>69762</v>
      </c>
      <c r="E43" s="24">
        <v>58838</v>
      </c>
      <c r="F43" s="24"/>
      <c r="G43" s="24"/>
      <c r="H43" s="24">
        <v>96015</v>
      </c>
      <c r="I43" s="24">
        <v>88152</v>
      </c>
      <c r="J43" s="24">
        <v>149529</v>
      </c>
      <c r="K43" s="24">
        <v>131778</v>
      </c>
      <c r="L43" s="24">
        <v>22436</v>
      </c>
      <c r="M43" s="24">
        <v>19529</v>
      </c>
      <c r="N43" s="24">
        <v>19019</v>
      </c>
      <c r="O43" s="24">
        <v>14122</v>
      </c>
      <c r="P43" s="24"/>
      <c r="Q43" s="24"/>
      <c r="R43" s="24">
        <v>4620.99</v>
      </c>
      <c r="S43" s="24">
        <v>4380.1899999999996</v>
      </c>
      <c r="T43" s="24">
        <v>20904.53</v>
      </c>
      <c r="U43" s="24">
        <v>17991.14</v>
      </c>
      <c r="V43" s="24">
        <v>189563</v>
      </c>
      <c r="W43" s="24">
        <v>188095</v>
      </c>
      <c r="X43" s="24">
        <v>218430</v>
      </c>
      <c r="Y43" s="24">
        <v>192161</v>
      </c>
      <c r="Z43" s="24"/>
      <c r="AA43" s="24">
        <v>53656</v>
      </c>
      <c r="AB43" s="24">
        <v>16961</v>
      </c>
      <c r="AC43" s="24">
        <v>15933</v>
      </c>
      <c r="AD43" s="24">
        <v>16694</v>
      </c>
      <c r="AE43" s="24">
        <v>12598</v>
      </c>
      <c r="AF43" s="24">
        <v>7589</v>
      </c>
      <c r="AG43" s="24">
        <v>6156</v>
      </c>
      <c r="AH43" s="24">
        <v>49619.32</v>
      </c>
      <c r="AI43" s="24">
        <v>46039.31</v>
      </c>
      <c r="AJ43" s="24"/>
      <c r="AK43" s="24">
        <v>267985.67</v>
      </c>
      <c r="AL43" s="24">
        <v>4047</v>
      </c>
      <c r="AM43" s="24">
        <v>4285</v>
      </c>
      <c r="AN43" s="24">
        <v>113034</v>
      </c>
      <c r="AO43" s="24">
        <v>105529</v>
      </c>
      <c r="AP43" s="24">
        <v>409</v>
      </c>
      <c r="AQ43" s="24">
        <v>214</v>
      </c>
      <c r="AR43" s="24">
        <v>46918</v>
      </c>
      <c r="AS43" s="24">
        <v>31316</v>
      </c>
      <c r="AT43" s="24">
        <v>18438</v>
      </c>
      <c r="AU43" s="24">
        <v>15891</v>
      </c>
      <c r="AV43" s="24">
        <v>81953</v>
      </c>
      <c r="AW43" s="24">
        <v>68416</v>
      </c>
      <c r="AX43" s="24">
        <v>232</v>
      </c>
      <c r="AY43" s="24">
        <v>393</v>
      </c>
      <c r="AZ43" s="24">
        <v>573324</v>
      </c>
      <c r="BA43" s="24">
        <v>607135</v>
      </c>
      <c r="BB43" s="24">
        <v>86911</v>
      </c>
      <c r="BC43" s="24">
        <v>82180</v>
      </c>
      <c r="BD43" s="24"/>
      <c r="BE43" s="24">
        <v>494767</v>
      </c>
      <c r="BF43" s="24">
        <v>0</v>
      </c>
      <c r="BG43" s="24">
        <v>0</v>
      </c>
      <c r="BH43" s="24"/>
      <c r="BI43" s="24"/>
      <c r="BJ43" s="24">
        <v>12008</v>
      </c>
      <c r="BK43" s="24">
        <v>8361</v>
      </c>
      <c r="BL43" s="37">
        <f t="shared" si="3"/>
        <v>1838272.8399999999</v>
      </c>
      <c r="BM43" s="37">
        <f t="shared" si="3"/>
        <v>2549875.31</v>
      </c>
    </row>
    <row r="44" spans="1:65" x14ac:dyDescent="0.25">
      <c r="A44" s="36" t="s">
        <v>277</v>
      </c>
      <c r="B44" s="24">
        <v>24348</v>
      </c>
      <c r="C44" s="24">
        <v>24348</v>
      </c>
      <c r="D44" s="24">
        <v>79395</v>
      </c>
      <c r="E44" s="24">
        <v>79395</v>
      </c>
      <c r="F44" s="24"/>
      <c r="G44" s="24"/>
      <c r="H44" s="24">
        <v>101084</v>
      </c>
      <c r="I44" s="24">
        <v>101084</v>
      </c>
      <c r="J44" s="24">
        <v>167368</v>
      </c>
      <c r="K44" s="24">
        <v>167368</v>
      </c>
      <c r="L44" s="24">
        <v>25059</v>
      </c>
      <c r="M44" s="24">
        <v>25059</v>
      </c>
      <c r="N44" s="24">
        <v>24455</v>
      </c>
      <c r="O44" s="24">
        <v>24455</v>
      </c>
      <c r="P44" s="24"/>
      <c r="Q44" s="24"/>
      <c r="R44" s="24">
        <v>5616.31</v>
      </c>
      <c r="S44" s="24">
        <v>5616.31</v>
      </c>
      <c r="T44" s="24">
        <v>21136.7</v>
      </c>
      <c r="U44" s="24">
        <v>21136.7</v>
      </c>
      <c r="V44" s="24">
        <v>-188408</v>
      </c>
      <c r="W44" s="24">
        <v>-188408</v>
      </c>
      <c r="X44" s="24">
        <v>227661</v>
      </c>
      <c r="Y44" s="24">
        <v>227661</v>
      </c>
      <c r="Z44" s="24">
        <v>22600</v>
      </c>
      <c r="AA44" s="24">
        <v>81969</v>
      </c>
      <c r="AB44" s="24">
        <v>18850</v>
      </c>
      <c r="AC44" s="24">
        <v>18850</v>
      </c>
      <c r="AD44" s="24">
        <v>15415</v>
      </c>
      <c r="AE44" s="24">
        <v>15415</v>
      </c>
      <c r="AF44" s="24">
        <v>-9057</v>
      </c>
      <c r="AG44" s="24">
        <v>-9057</v>
      </c>
      <c r="AH44" s="24">
        <v>53264.160000000003</v>
      </c>
      <c r="AI44" s="24">
        <v>53264.160000000003</v>
      </c>
      <c r="AJ44" s="24">
        <v>-5883.42</v>
      </c>
      <c r="AK44" s="24">
        <v>258241.52</v>
      </c>
      <c r="AL44" s="24">
        <v>-3512</v>
      </c>
      <c r="AM44" s="24">
        <v>-3512</v>
      </c>
      <c r="AN44" s="24">
        <v>124750</v>
      </c>
      <c r="AO44" s="24">
        <v>124750</v>
      </c>
      <c r="AP44" s="24">
        <v>463</v>
      </c>
      <c r="AQ44" s="24">
        <v>463</v>
      </c>
      <c r="AR44" s="24">
        <v>50396</v>
      </c>
      <c r="AS44" s="24">
        <v>50396</v>
      </c>
      <c r="AT44" s="24">
        <v>18427</v>
      </c>
      <c r="AU44" s="24">
        <v>18427</v>
      </c>
      <c r="AV44" s="24">
        <v>97785</v>
      </c>
      <c r="AW44" s="24">
        <v>97785</v>
      </c>
      <c r="AX44" s="24">
        <v>155</v>
      </c>
      <c r="AY44" s="24">
        <v>155</v>
      </c>
      <c r="AZ44" s="24">
        <v>597337</v>
      </c>
      <c r="BA44" s="24">
        <v>597337</v>
      </c>
      <c r="BB44" s="24">
        <v>91491</v>
      </c>
      <c r="BC44" s="24">
        <v>91491</v>
      </c>
      <c r="BD44" s="24"/>
      <c r="BE44" s="24">
        <v>548251</v>
      </c>
      <c r="BF44" s="24">
        <v>26805</v>
      </c>
      <c r="BG44" s="24">
        <v>47505</v>
      </c>
      <c r="BH44" s="24"/>
      <c r="BI44" s="24"/>
      <c r="BJ44" s="24">
        <v>-18807</v>
      </c>
      <c r="BK44" s="24">
        <v>-18806</v>
      </c>
      <c r="BL44" s="37">
        <f t="shared" si="3"/>
        <v>1568193.75</v>
      </c>
      <c r="BM44" s="37">
        <f t="shared" si="3"/>
        <v>2460639.69</v>
      </c>
    </row>
    <row r="45" spans="1:65" s="4" customFormat="1" x14ac:dyDescent="0.25">
      <c r="A45" s="26" t="s">
        <v>192</v>
      </c>
      <c r="B45" s="26">
        <v>13134</v>
      </c>
      <c r="C45" s="26">
        <v>22954</v>
      </c>
      <c r="D45" s="26">
        <v>37605</v>
      </c>
      <c r="E45" s="26">
        <v>73566</v>
      </c>
      <c r="F45" s="26"/>
      <c r="G45" s="26"/>
      <c r="H45" s="26">
        <v>49078</v>
      </c>
      <c r="I45" s="26">
        <v>96614</v>
      </c>
      <c r="J45" s="26">
        <v>86460</v>
      </c>
      <c r="K45" s="26">
        <v>154847</v>
      </c>
      <c r="L45" s="26">
        <v>8402</v>
      </c>
      <c r="M45" s="26">
        <v>16421</v>
      </c>
      <c r="N45" s="26">
        <v>11842</v>
      </c>
      <c r="O45" s="26">
        <v>24522</v>
      </c>
      <c r="P45" s="26"/>
      <c r="Q45" s="26"/>
      <c r="R45" s="26">
        <v>3026.49</v>
      </c>
      <c r="S45" s="26">
        <v>5708.72</v>
      </c>
      <c r="T45" s="26">
        <v>9827.07</v>
      </c>
      <c r="U45" s="26">
        <v>19228.439999999999</v>
      </c>
      <c r="V45" s="26">
        <v>74972</v>
      </c>
      <c r="W45" s="26">
        <v>147303</v>
      </c>
      <c r="X45" s="26">
        <v>90823</v>
      </c>
      <c r="Y45" s="26">
        <v>176508</v>
      </c>
      <c r="Z45" s="26">
        <v>43504</v>
      </c>
      <c r="AA45" s="26">
        <v>77991</v>
      </c>
      <c r="AB45" s="26">
        <v>5719</v>
      </c>
      <c r="AC45" s="26">
        <v>10738</v>
      </c>
      <c r="AD45" s="26">
        <v>6968</v>
      </c>
      <c r="AE45" s="26">
        <v>13077</v>
      </c>
      <c r="AF45" s="26">
        <v>3126</v>
      </c>
      <c r="AG45" s="26">
        <v>5909</v>
      </c>
      <c r="AH45" s="26">
        <v>25155.61</v>
      </c>
      <c r="AI45" s="26">
        <v>48492.77</v>
      </c>
      <c r="AJ45" s="26">
        <v>193474.76</v>
      </c>
      <c r="AK45" s="26">
        <v>321486.42</v>
      </c>
      <c r="AL45" s="26">
        <v>1351</v>
      </c>
      <c r="AM45" s="26">
        <v>2660</v>
      </c>
      <c r="AN45" s="26">
        <v>61602</v>
      </c>
      <c r="AO45" s="26">
        <v>112874</v>
      </c>
      <c r="AP45" s="26">
        <v>177</v>
      </c>
      <c r="AQ45" s="26">
        <v>319</v>
      </c>
      <c r="AR45" s="26">
        <v>23301</v>
      </c>
      <c r="AS45" s="26">
        <v>47088</v>
      </c>
      <c r="AT45" s="26">
        <v>9250</v>
      </c>
      <c r="AU45" s="26">
        <v>17800</v>
      </c>
      <c r="AV45" s="26">
        <v>31364</v>
      </c>
      <c r="AW45" s="26">
        <v>56240</v>
      </c>
      <c r="AX45" s="26">
        <v>121</v>
      </c>
      <c r="AY45" s="26">
        <v>297</v>
      </c>
      <c r="AZ45" s="26">
        <v>276113</v>
      </c>
      <c r="BA45" s="26">
        <v>541672</v>
      </c>
      <c r="BB45" s="26">
        <v>40873</v>
      </c>
      <c r="BC45" s="26">
        <v>74336</v>
      </c>
      <c r="BD45" s="26"/>
      <c r="BE45" s="26">
        <v>721964</v>
      </c>
      <c r="BF45" s="26">
        <v>233599</v>
      </c>
      <c r="BG45" s="26">
        <v>392909</v>
      </c>
      <c r="BH45" s="26">
        <v>155722</v>
      </c>
      <c r="BI45" s="26">
        <v>320775</v>
      </c>
      <c r="BJ45" s="26">
        <v>6716</v>
      </c>
      <c r="BK45" s="26">
        <v>11775</v>
      </c>
      <c r="BL45" s="39">
        <f t="shared" si="3"/>
        <v>1503305.93</v>
      </c>
      <c r="BM45" s="39">
        <f t="shared" si="3"/>
        <v>3516075.3499999996</v>
      </c>
    </row>
    <row r="47" spans="1:65" x14ac:dyDescent="0.25">
      <c r="A47" s="7" t="s">
        <v>187</v>
      </c>
    </row>
    <row r="48" spans="1:65" x14ac:dyDescent="0.25">
      <c r="A48" s="42" t="s">
        <v>0</v>
      </c>
      <c r="B48" s="94" t="s">
        <v>1</v>
      </c>
      <c r="C48" s="95"/>
      <c r="D48" s="94" t="s">
        <v>232</v>
      </c>
      <c r="E48" s="95"/>
      <c r="F48" s="94" t="s">
        <v>2</v>
      </c>
      <c r="G48" s="95"/>
      <c r="H48" s="94" t="s">
        <v>3</v>
      </c>
      <c r="I48" s="95"/>
      <c r="J48" s="94" t="s">
        <v>241</v>
      </c>
      <c r="K48" s="95"/>
      <c r="L48" s="94" t="s">
        <v>233</v>
      </c>
      <c r="M48" s="95"/>
      <c r="N48" s="94" t="s">
        <v>246</v>
      </c>
      <c r="O48" s="95"/>
      <c r="P48" s="94" t="s">
        <v>5</v>
      </c>
      <c r="Q48" s="95"/>
      <c r="R48" s="94" t="s">
        <v>4</v>
      </c>
      <c r="S48" s="95"/>
      <c r="T48" s="94" t="s">
        <v>6</v>
      </c>
      <c r="U48" s="95"/>
      <c r="V48" s="94" t="s">
        <v>7</v>
      </c>
      <c r="W48" s="95"/>
      <c r="X48" s="94" t="s">
        <v>8</v>
      </c>
      <c r="Y48" s="95"/>
      <c r="Z48" s="94" t="s">
        <v>9</v>
      </c>
      <c r="AA48" s="95"/>
      <c r="AB48" s="94" t="s">
        <v>240</v>
      </c>
      <c r="AC48" s="95"/>
      <c r="AD48" s="94" t="s">
        <v>10</v>
      </c>
      <c r="AE48" s="95"/>
      <c r="AF48" s="94" t="s">
        <v>11</v>
      </c>
      <c r="AG48" s="95"/>
      <c r="AH48" s="94" t="s">
        <v>234</v>
      </c>
      <c r="AI48" s="95"/>
      <c r="AJ48" s="94" t="s">
        <v>12</v>
      </c>
      <c r="AK48" s="95"/>
      <c r="AL48" s="94" t="s">
        <v>235</v>
      </c>
      <c r="AM48" s="95"/>
      <c r="AN48" s="94" t="s">
        <v>300</v>
      </c>
      <c r="AO48" s="95"/>
      <c r="AP48" s="94" t="s">
        <v>236</v>
      </c>
      <c r="AQ48" s="95"/>
      <c r="AR48" s="94" t="s">
        <v>239</v>
      </c>
      <c r="AS48" s="95"/>
      <c r="AT48" s="94" t="s">
        <v>13</v>
      </c>
      <c r="AU48" s="95"/>
      <c r="AV48" s="94" t="s">
        <v>14</v>
      </c>
      <c r="AW48" s="95"/>
      <c r="AX48" s="94" t="s">
        <v>15</v>
      </c>
      <c r="AY48" s="95"/>
      <c r="AZ48" s="94" t="s">
        <v>16</v>
      </c>
      <c r="BA48" s="95"/>
      <c r="BB48" s="94" t="s">
        <v>17</v>
      </c>
      <c r="BC48" s="95"/>
      <c r="BD48" s="94" t="s">
        <v>237</v>
      </c>
      <c r="BE48" s="95"/>
      <c r="BF48" s="94" t="s">
        <v>238</v>
      </c>
      <c r="BG48" s="95"/>
      <c r="BH48" s="94" t="s">
        <v>18</v>
      </c>
      <c r="BI48" s="95"/>
      <c r="BJ48" s="94" t="s">
        <v>19</v>
      </c>
      <c r="BK48" s="95"/>
      <c r="BL48" s="96" t="s">
        <v>20</v>
      </c>
      <c r="BM48" s="97"/>
    </row>
    <row r="49" spans="1:65" ht="30" x14ac:dyDescent="0.25">
      <c r="A49" s="42"/>
      <c r="B49" s="34" t="s">
        <v>298</v>
      </c>
      <c r="C49" s="35" t="s">
        <v>299</v>
      </c>
      <c r="D49" s="34" t="s">
        <v>298</v>
      </c>
      <c r="E49" s="35" t="s">
        <v>299</v>
      </c>
      <c r="F49" s="34" t="s">
        <v>298</v>
      </c>
      <c r="G49" s="35" t="s">
        <v>299</v>
      </c>
      <c r="H49" s="34" t="s">
        <v>298</v>
      </c>
      <c r="I49" s="35" t="s">
        <v>299</v>
      </c>
      <c r="J49" s="34" t="s">
        <v>298</v>
      </c>
      <c r="K49" s="35" t="s">
        <v>299</v>
      </c>
      <c r="L49" s="34" t="s">
        <v>298</v>
      </c>
      <c r="M49" s="35" t="s">
        <v>299</v>
      </c>
      <c r="N49" s="34" t="s">
        <v>298</v>
      </c>
      <c r="O49" s="35" t="s">
        <v>299</v>
      </c>
      <c r="P49" s="34" t="s">
        <v>298</v>
      </c>
      <c r="Q49" s="35" t="s">
        <v>299</v>
      </c>
      <c r="R49" s="34" t="s">
        <v>298</v>
      </c>
      <c r="S49" s="35" t="s">
        <v>299</v>
      </c>
      <c r="T49" s="34" t="s">
        <v>298</v>
      </c>
      <c r="U49" s="35" t="s">
        <v>299</v>
      </c>
      <c r="V49" s="34" t="s">
        <v>298</v>
      </c>
      <c r="W49" s="35" t="s">
        <v>299</v>
      </c>
      <c r="X49" s="34" t="s">
        <v>298</v>
      </c>
      <c r="Y49" s="35" t="s">
        <v>299</v>
      </c>
      <c r="Z49" s="34" t="s">
        <v>298</v>
      </c>
      <c r="AA49" s="35" t="s">
        <v>299</v>
      </c>
      <c r="AB49" s="34" t="s">
        <v>298</v>
      </c>
      <c r="AC49" s="35" t="s">
        <v>299</v>
      </c>
      <c r="AD49" s="34" t="s">
        <v>298</v>
      </c>
      <c r="AE49" s="35" t="s">
        <v>299</v>
      </c>
      <c r="AF49" s="34" t="s">
        <v>298</v>
      </c>
      <c r="AG49" s="35" t="s">
        <v>299</v>
      </c>
      <c r="AH49" s="34" t="s">
        <v>298</v>
      </c>
      <c r="AI49" s="35" t="s">
        <v>299</v>
      </c>
      <c r="AJ49" s="34" t="s">
        <v>298</v>
      </c>
      <c r="AK49" s="35" t="s">
        <v>299</v>
      </c>
      <c r="AL49" s="34" t="s">
        <v>298</v>
      </c>
      <c r="AM49" s="35" t="s">
        <v>299</v>
      </c>
      <c r="AN49" s="34" t="s">
        <v>298</v>
      </c>
      <c r="AO49" s="35" t="s">
        <v>299</v>
      </c>
      <c r="AP49" s="34" t="s">
        <v>298</v>
      </c>
      <c r="AQ49" s="35" t="s">
        <v>299</v>
      </c>
      <c r="AR49" s="34" t="s">
        <v>298</v>
      </c>
      <c r="AS49" s="35" t="s">
        <v>299</v>
      </c>
      <c r="AT49" s="34" t="s">
        <v>298</v>
      </c>
      <c r="AU49" s="35" t="s">
        <v>299</v>
      </c>
      <c r="AV49" s="34" t="s">
        <v>298</v>
      </c>
      <c r="AW49" s="35" t="s">
        <v>299</v>
      </c>
      <c r="AX49" s="34" t="s">
        <v>298</v>
      </c>
      <c r="AY49" s="35" t="s">
        <v>299</v>
      </c>
      <c r="AZ49" s="34" t="s">
        <v>298</v>
      </c>
      <c r="BA49" s="35" t="s">
        <v>299</v>
      </c>
      <c r="BB49" s="34" t="s">
        <v>298</v>
      </c>
      <c r="BC49" s="35" t="s">
        <v>299</v>
      </c>
      <c r="BD49" s="34" t="s">
        <v>298</v>
      </c>
      <c r="BE49" s="35" t="s">
        <v>299</v>
      </c>
      <c r="BF49" s="34" t="s">
        <v>298</v>
      </c>
      <c r="BG49" s="35" t="s">
        <v>299</v>
      </c>
      <c r="BH49" s="34" t="s">
        <v>298</v>
      </c>
      <c r="BI49" s="35" t="s">
        <v>299</v>
      </c>
      <c r="BJ49" s="34" t="s">
        <v>298</v>
      </c>
      <c r="BK49" s="35" t="s">
        <v>299</v>
      </c>
      <c r="BL49" s="34" t="s">
        <v>298</v>
      </c>
      <c r="BM49" s="35" t="s">
        <v>299</v>
      </c>
    </row>
    <row r="50" spans="1:65" x14ac:dyDescent="0.25">
      <c r="A50" s="24" t="s">
        <v>272</v>
      </c>
      <c r="B50" s="24">
        <v>164</v>
      </c>
      <c r="C50" s="24">
        <v>303</v>
      </c>
      <c r="D50" s="24">
        <v>3705</v>
      </c>
      <c r="E50" s="24">
        <v>7885</v>
      </c>
      <c r="F50" s="24"/>
      <c r="G50" s="24"/>
      <c r="H50" s="24">
        <v>5612</v>
      </c>
      <c r="I50" s="24">
        <v>10536</v>
      </c>
      <c r="J50" s="24">
        <v>8412</v>
      </c>
      <c r="K50" s="24">
        <v>17363</v>
      </c>
      <c r="L50" s="24">
        <v>7477</v>
      </c>
      <c r="M50" s="24">
        <v>15227</v>
      </c>
      <c r="N50" s="24">
        <v>3495</v>
      </c>
      <c r="O50" s="24">
        <v>7020</v>
      </c>
      <c r="P50" s="24"/>
      <c r="Q50" s="24"/>
      <c r="R50" s="24">
        <v>760.35</v>
      </c>
      <c r="S50" s="24">
        <v>1597.75</v>
      </c>
      <c r="T50" s="24">
        <v>2313.9699999999998</v>
      </c>
      <c r="U50" s="24">
        <v>4069.49</v>
      </c>
      <c r="V50" s="24">
        <v>15315</v>
      </c>
      <c r="W50" s="24">
        <v>35699</v>
      </c>
      <c r="X50" s="24">
        <v>13736</v>
      </c>
      <c r="Y50" s="24">
        <v>27885</v>
      </c>
      <c r="Z50" s="24">
        <v>3585</v>
      </c>
      <c r="AA50" s="24">
        <v>6822</v>
      </c>
      <c r="AB50" s="24">
        <v>1442</v>
      </c>
      <c r="AC50" s="24">
        <v>2571</v>
      </c>
      <c r="AD50" s="24">
        <v>598</v>
      </c>
      <c r="AE50" s="24">
        <v>1270</v>
      </c>
      <c r="AF50" s="24">
        <v>152</v>
      </c>
      <c r="AG50" s="24">
        <v>340</v>
      </c>
      <c r="AH50" s="24">
        <v>799.16</v>
      </c>
      <c r="AI50" s="24">
        <v>1331.58</v>
      </c>
      <c r="AJ50" s="24">
        <v>19160.71</v>
      </c>
      <c r="AK50" s="24">
        <v>34876.699999999997</v>
      </c>
      <c r="AL50" s="24">
        <v>-12</v>
      </c>
      <c r="AM50" s="24">
        <v>16</v>
      </c>
      <c r="AN50" s="24">
        <v>1850</v>
      </c>
      <c r="AO50" s="24">
        <v>3460</v>
      </c>
      <c r="AP50" s="24">
        <v>12</v>
      </c>
      <c r="AQ50" s="24">
        <v>26</v>
      </c>
      <c r="AR50" s="24">
        <v>4704</v>
      </c>
      <c r="AS50" s="24">
        <v>9397</v>
      </c>
      <c r="AT50" s="24">
        <v>1241</v>
      </c>
      <c r="AU50" s="24">
        <v>2520</v>
      </c>
      <c r="AV50" s="24">
        <v>27541</v>
      </c>
      <c r="AW50" s="24">
        <v>43661</v>
      </c>
      <c r="AX50" s="24">
        <v>1061</v>
      </c>
      <c r="AY50" s="24">
        <v>1639</v>
      </c>
      <c r="AZ50" s="24">
        <v>4893</v>
      </c>
      <c r="BA50" s="24">
        <v>8442</v>
      </c>
      <c r="BB50" s="24">
        <v>17061</v>
      </c>
      <c r="BC50" s="24">
        <v>21498</v>
      </c>
      <c r="BD50" s="24"/>
      <c r="BE50" s="24">
        <v>42479</v>
      </c>
      <c r="BF50" s="24">
        <v>20142</v>
      </c>
      <c r="BG50" s="24">
        <v>26366</v>
      </c>
      <c r="BH50" s="24">
        <v>13538</v>
      </c>
      <c r="BI50" s="24">
        <v>24250</v>
      </c>
      <c r="BJ50" s="24">
        <v>2785</v>
      </c>
      <c r="BK50" s="24">
        <v>7893</v>
      </c>
      <c r="BL50" s="37">
        <f t="shared" ref="BL50:BM56" si="4">SUM(B50+D50+F50+H50+J50+L50+N50+P50+R50+T50+V50+X50+Z50+AB50+AD50+AF50+AH50+AJ50+AL50+AN50+AP50+AR50+AT50+AV50+AX50+AZ50+BB50+BD50+BF50+BH50+BJ50)</f>
        <v>181543.19</v>
      </c>
      <c r="BM50" s="37">
        <f t="shared" si="4"/>
        <v>366443.51999999996</v>
      </c>
    </row>
    <row r="51" spans="1:65" x14ac:dyDescent="0.25">
      <c r="A51" s="24" t="s">
        <v>273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>
        <v>1</v>
      </c>
      <c r="P51" s="24"/>
      <c r="Q51" s="24"/>
      <c r="R51" s="24"/>
      <c r="S51" s="24"/>
      <c r="T51" s="24">
        <v>-19.96</v>
      </c>
      <c r="U51" s="24">
        <v>19.96</v>
      </c>
      <c r="V51" s="24"/>
      <c r="W51" s="24"/>
      <c r="X51" s="24">
        <v>5</v>
      </c>
      <c r="Y51" s="24">
        <v>5</v>
      </c>
      <c r="Z51" s="24">
        <v>73</v>
      </c>
      <c r="AA51" s="24">
        <v>73</v>
      </c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>
        <v>95</v>
      </c>
      <c r="AU51" s="24">
        <v>1528</v>
      </c>
      <c r="AV51" s="24">
        <v>2</v>
      </c>
      <c r="AW51" s="24">
        <v>2</v>
      </c>
      <c r="AX51" s="24"/>
      <c r="AY51" s="24"/>
      <c r="AZ51" s="24"/>
      <c r="BA51" s="24"/>
      <c r="BB51" s="24">
        <v>277</v>
      </c>
      <c r="BC51" s="24">
        <v>277</v>
      </c>
      <c r="BD51" s="24"/>
      <c r="BE51" s="24">
        <v>201</v>
      </c>
      <c r="BF51" s="24">
        <v>0</v>
      </c>
      <c r="BG51" s="24">
        <v>1</v>
      </c>
      <c r="BH51" s="24">
        <v>21</v>
      </c>
      <c r="BI51" s="24">
        <v>81</v>
      </c>
      <c r="BJ51" s="24"/>
      <c r="BK51" s="24"/>
      <c r="BL51" s="37">
        <f t="shared" si="4"/>
        <v>453.03999999999996</v>
      </c>
      <c r="BM51" s="37">
        <f t="shared" si="4"/>
        <v>2188.96</v>
      </c>
    </row>
    <row r="52" spans="1:65" x14ac:dyDescent="0.25">
      <c r="A52" s="24" t="s">
        <v>274</v>
      </c>
      <c r="B52" s="24">
        <v>12</v>
      </c>
      <c r="C52" s="24">
        <v>23</v>
      </c>
      <c r="D52" s="24">
        <v>225</v>
      </c>
      <c r="E52" s="24">
        <v>516</v>
      </c>
      <c r="F52" s="24"/>
      <c r="G52" s="24"/>
      <c r="H52" s="24">
        <v>-319</v>
      </c>
      <c r="I52" s="24">
        <v>-658</v>
      </c>
      <c r="J52" s="24">
        <v>395</v>
      </c>
      <c r="K52" s="24">
        <v>1119</v>
      </c>
      <c r="L52" s="24">
        <v>2300</v>
      </c>
      <c r="M52" s="24">
        <v>4990</v>
      </c>
      <c r="N52" s="24">
        <v>247</v>
      </c>
      <c r="O52" s="24">
        <v>505</v>
      </c>
      <c r="P52" s="24"/>
      <c r="Q52" s="24"/>
      <c r="R52" s="24">
        <v>602.67999999999995</v>
      </c>
      <c r="S52" s="24">
        <v>686.31</v>
      </c>
      <c r="T52" s="24">
        <v>277.42</v>
      </c>
      <c r="U52" s="24">
        <v>448.96</v>
      </c>
      <c r="V52" s="24">
        <v>-6921</v>
      </c>
      <c r="W52" s="24">
        <v>-14906</v>
      </c>
      <c r="X52" s="24">
        <v>2597</v>
      </c>
      <c r="Y52" s="24">
        <v>4912</v>
      </c>
      <c r="Z52" s="24">
        <v>262</v>
      </c>
      <c r="AA52" s="24">
        <v>508</v>
      </c>
      <c r="AB52" s="24">
        <v>386</v>
      </c>
      <c r="AC52" s="24">
        <v>589</v>
      </c>
      <c r="AD52" s="24">
        <v>23</v>
      </c>
      <c r="AE52" s="24">
        <v>103</v>
      </c>
      <c r="AF52" s="24">
        <v>-13</v>
      </c>
      <c r="AG52" s="24">
        <v>-30</v>
      </c>
      <c r="AH52" s="24">
        <v>67.12</v>
      </c>
      <c r="AI52" s="24">
        <v>133.85</v>
      </c>
      <c r="AJ52" s="24">
        <v>1114.71</v>
      </c>
      <c r="AK52" s="24">
        <v>1911.25</v>
      </c>
      <c r="AL52" s="24">
        <v>-11</v>
      </c>
      <c r="AM52" s="24">
        <v>-22</v>
      </c>
      <c r="AN52" s="24">
        <v>349</v>
      </c>
      <c r="AO52" s="24">
        <v>694</v>
      </c>
      <c r="AP52" s="24">
        <v>7</v>
      </c>
      <c r="AQ52" s="24">
        <v>19</v>
      </c>
      <c r="AR52" s="24">
        <v>1936</v>
      </c>
      <c r="AS52" s="24">
        <v>3768</v>
      </c>
      <c r="AT52" s="24">
        <v>329</v>
      </c>
      <c r="AU52" s="24">
        <v>1746</v>
      </c>
      <c r="AV52" s="24">
        <v>4165</v>
      </c>
      <c r="AW52" s="24">
        <v>6672</v>
      </c>
      <c r="AX52" s="24">
        <v>192</v>
      </c>
      <c r="AY52" s="24">
        <v>359</v>
      </c>
      <c r="AZ52" s="24">
        <v>1141</v>
      </c>
      <c r="BA52" s="24">
        <v>2042</v>
      </c>
      <c r="BB52" s="24">
        <v>8084</v>
      </c>
      <c r="BC52" s="24">
        <v>8379</v>
      </c>
      <c r="BD52" s="24"/>
      <c r="BE52" s="24">
        <v>1988</v>
      </c>
      <c r="BF52" s="24">
        <v>335</v>
      </c>
      <c r="BG52" s="24">
        <v>1132</v>
      </c>
      <c r="BH52" s="24">
        <v>4847</v>
      </c>
      <c r="BI52" s="24">
        <v>10079</v>
      </c>
      <c r="BJ52" s="24">
        <v>848</v>
      </c>
      <c r="BK52" s="24">
        <v>1956</v>
      </c>
      <c r="BL52" s="37">
        <f t="shared" si="4"/>
        <v>23477.93</v>
      </c>
      <c r="BM52" s="37">
        <f t="shared" si="4"/>
        <v>39663.369999999995</v>
      </c>
    </row>
    <row r="53" spans="1:65" s="4" customFormat="1" x14ac:dyDescent="0.25">
      <c r="A53" s="26" t="s">
        <v>275</v>
      </c>
      <c r="B53" s="26">
        <v>152</v>
      </c>
      <c r="C53" s="26">
        <v>280</v>
      </c>
      <c r="D53" s="26">
        <v>3480</v>
      </c>
      <c r="E53" s="26">
        <v>7369</v>
      </c>
      <c r="F53" s="26"/>
      <c r="G53" s="26"/>
      <c r="H53" s="26">
        <v>5293</v>
      </c>
      <c r="I53" s="26">
        <v>9878</v>
      </c>
      <c r="J53" s="26">
        <v>8017</v>
      </c>
      <c r="K53" s="26">
        <v>16244</v>
      </c>
      <c r="L53" s="26">
        <v>5178</v>
      </c>
      <c r="M53" s="26">
        <v>10237</v>
      </c>
      <c r="N53" s="26">
        <v>3248</v>
      </c>
      <c r="O53" s="26">
        <v>6516</v>
      </c>
      <c r="P53" s="26"/>
      <c r="Q53" s="26"/>
      <c r="R53" s="26">
        <v>157.66999999999999</v>
      </c>
      <c r="S53" s="26">
        <v>911.44</v>
      </c>
      <c r="T53" s="26">
        <v>2016.59</v>
      </c>
      <c r="U53" s="26">
        <v>3640.49</v>
      </c>
      <c r="V53" s="26">
        <v>8394</v>
      </c>
      <c r="W53" s="26">
        <v>20793</v>
      </c>
      <c r="X53" s="26">
        <v>11144</v>
      </c>
      <c r="Y53" s="26">
        <v>22978</v>
      </c>
      <c r="Z53" s="26">
        <v>3396</v>
      </c>
      <c r="AA53" s="26">
        <v>6387</v>
      </c>
      <c r="AB53" s="26">
        <v>1056</v>
      </c>
      <c r="AC53" s="26">
        <v>1982</v>
      </c>
      <c r="AD53" s="26">
        <v>574</v>
      </c>
      <c r="AE53" s="26">
        <v>1167</v>
      </c>
      <c r="AF53" s="26">
        <v>139</v>
      </c>
      <c r="AG53" s="26">
        <v>310</v>
      </c>
      <c r="AH53" s="26">
        <v>732.04</v>
      </c>
      <c r="AI53" s="26">
        <v>1197.73</v>
      </c>
      <c r="AJ53" s="26">
        <v>18046</v>
      </c>
      <c r="AK53" s="26">
        <v>32965.449999999997</v>
      </c>
      <c r="AL53" s="26">
        <v>-23</v>
      </c>
      <c r="AM53" s="26">
        <v>-6</v>
      </c>
      <c r="AN53" s="26">
        <v>1501</v>
      </c>
      <c r="AO53" s="26">
        <v>2766</v>
      </c>
      <c r="AP53" s="26">
        <v>5</v>
      </c>
      <c r="AQ53" s="26">
        <v>7</v>
      </c>
      <c r="AR53" s="26">
        <v>2768</v>
      </c>
      <c r="AS53" s="26">
        <v>5629</v>
      </c>
      <c r="AT53" s="26">
        <v>1007</v>
      </c>
      <c r="AU53" s="26">
        <v>2302</v>
      </c>
      <c r="AV53" s="26">
        <v>23379</v>
      </c>
      <c r="AW53" s="26">
        <v>36992</v>
      </c>
      <c r="AX53" s="26">
        <v>868</v>
      </c>
      <c r="AY53" s="26">
        <v>1280</v>
      </c>
      <c r="AZ53" s="26">
        <v>3752</v>
      </c>
      <c r="BA53" s="26">
        <v>6399</v>
      </c>
      <c r="BB53" s="26">
        <v>9254</v>
      </c>
      <c r="BC53" s="26">
        <v>13396</v>
      </c>
      <c r="BD53" s="26"/>
      <c r="BE53" s="26">
        <v>40692</v>
      </c>
      <c r="BF53" s="26">
        <v>19807</v>
      </c>
      <c r="BG53" s="26">
        <v>25235</v>
      </c>
      <c r="BH53" s="26">
        <v>8712</v>
      </c>
      <c r="BI53" s="26">
        <v>14252</v>
      </c>
      <c r="BJ53" s="26">
        <v>1937</v>
      </c>
      <c r="BK53" s="26">
        <v>5937</v>
      </c>
      <c r="BL53" s="39">
        <f t="shared" si="4"/>
        <v>143990.29999999999</v>
      </c>
      <c r="BM53" s="39">
        <f t="shared" si="4"/>
        <v>297737.11</v>
      </c>
    </row>
    <row r="54" spans="1:65" x14ac:dyDescent="0.25">
      <c r="A54" s="24" t="s">
        <v>276</v>
      </c>
      <c r="B54" s="24">
        <v>200</v>
      </c>
      <c r="C54" s="24">
        <v>177</v>
      </c>
      <c r="D54" s="24">
        <v>7052</v>
      </c>
      <c r="E54" s="24">
        <v>6667</v>
      </c>
      <c r="F54" s="24"/>
      <c r="G54" s="24"/>
      <c r="H54" s="24">
        <v>11574</v>
      </c>
      <c r="I54" s="24">
        <v>11789</v>
      </c>
      <c r="J54" s="24">
        <v>20026</v>
      </c>
      <c r="K54" s="24">
        <v>18193</v>
      </c>
      <c r="L54" s="24">
        <v>28097</v>
      </c>
      <c r="M54" s="24">
        <v>27510</v>
      </c>
      <c r="N54" s="24">
        <v>8446</v>
      </c>
      <c r="O54" s="24">
        <v>8781</v>
      </c>
      <c r="P54" s="24"/>
      <c r="Q54" s="24"/>
      <c r="R54" s="24">
        <v>916.66</v>
      </c>
      <c r="S54" s="24">
        <v>327.10000000000002</v>
      </c>
      <c r="T54" s="24">
        <v>4196.2299999999996</v>
      </c>
      <c r="U54" s="24">
        <v>4625.16</v>
      </c>
      <c r="V54" s="24">
        <v>56739</v>
      </c>
      <c r="W54" s="24">
        <v>54528</v>
      </c>
      <c r="X54" s="24">
        <v>36942</v>
      </c>
      <c r="Y54" s="24">
        <v>35618</v>
      </c>
      <c r="Z54" s="24"/>
      <c r="AA54" s="24">
        <v>5431</v>
      </c>
      <c r="AB54" s="24">
        <v>2557</v>
      </c>
      <c r="AC54" s="24">
        <v>2361</v>
      </c>
      <c r="AD54" s="24">
        <v>1001</v>
      </c>
      <c r="AE54" s="24">
        <v>828</v>
      </c>
      <c r="AF54" s="24">
        <v>262</v>
      </c>
      <c r="AG54" s="24">
        <v>223</v>
      </c>
      <c r="AH54" s="24">
        <v>745.03</v>
      </c>
      <c r="AI54" s="24">
        <v>643.54999999999995</v>
      </c>
      <c r="AJ54" s="24"/>
      <c r="AK54" s="24">
        <v>10442.92</v>
      </c>
      <c r="AL54" s="24">
        <v>778</v>
      </c>
      <c r="AM54" s="24">
        <v>862</v>
      </c>
      <c r="AN54" s="24">
        <v>2598</v>
      </c>
      <c r="AO54" s="24">
        <v>2595</v>
      </c>
      <c r="AP54" s="24">
        <v>3</v>
      </c>
      <c r="AQ54" s="24">
        <v>3</v>
      </c>
      <c r="AR54" s="24">
        <v>6584</v>
      </c>
      <c r="AS54" s="24">
        <v>5227</v>
      </c>
      <c r="AT54" s="24">
        <v>2331</v>
      </c>
      <c r="AU54" s="24">
        <v>1951</v>
      </c>
      <c r="AV54" s="24">
        <v>33716</v>
      </c>
      <c r="AW54" s="24">
        <v>33961</v>
      </c>
      <c r="AX54" s="24">
        <v>769</v>
      </c>
      <c r="AY54" s="24">
        <v>667</v>
      </c>
      <c r="AZ54" s="24">
        <v>9660</v>
      </c>
      <c r="BA54" s="24">
        <v>10148</v>
      </c>
      <c r="BB54" s="24">
        <v>8105</v>
      </c>
      <c r="BC54" s="24">
        <v>10037</v>
      </c>
      <c r="BD54" s="24"/>
      <c r="BE54" s="24">
        <v>20557</v>
      </c>
      <c r="BF54" s="24">
        <v>0</v>
      </c>
      <c r="BG54" s="24">
        <v>0</v>
      </c>
      <c r="BH54" s="24"/>
      <c r="BI54" s="24"/>
      <c r="BJ54" s="24">
        <v>5371</v>
      </c>
      <c r="BK54" s="24">
        <v>4386</v>
      </c>
      <c r="BL54" s="37">
        <f t="shared" si="4"/>
        <v>248668.92</v>
      </c>
      <c r="BM54" s="37">
        <f t="shared" si="4"/>
        <v>278538.73</v>
      </c>
    </row>
    <row r="55" spans="1:65" x14ac:dyDescent="0.25">
      <c r="A55" s="36" t="s">
        <v>277</v>
      </c>
      <c r="B55" s="24">
        <v>200</v>
      </c>
      <c r="C55" s="24">
        <v>200</v>
      </c>
      <c r="D55" s="24">
        <v>7029</v>
      </c>
      <c r="E55" s="24">
        <v>7029</v>
      </c>
      <c r="F55" s="24"/>
      <c r="G55" s="24"/>
      <c r="H55" s="24">
        <v>11852</v>
      </c>
      <c r="I55" s="24">
        <v>11852</v>
      </c>
      <c r="J55" s="24">
        <v>19601</v>
      </c>
      <c r="K55" s="24">
        <v>19601</v>
      </c>
      <c r="L55" s="24">
        <v>28750</v>
      </c>
      <c r="M55" s="24">
        <v>28750</v>
      </c>
      <c r="N55" s="24">
        <v>8805</v>
      </c>
      <c r="O55" s="24">
        <v>8805</v>
      </c>
      <c r="P55" s="24"/>
      <c r="Q55" s="24"/>
      <c r="R55" s="24">
        <v>896.52</v>
      </c>
      <c r="S55" s="24">
        <v>896.52</v>
      </c>
      <c r="T55" s="24">
        <v>4095.58</v>
      </c>
      <c r="U55" s="24">
        <v>4095.58</v>
      </c>
      <c r="V55" s="24">
        <v>-54797</v>
      </c>
      <c r="W55" s="24">
        <v>-54797</v>
      </c>
      <c r="X55" s="24">
        <v>36924</v>
      </c>
      <c r="Y55" s="24">
        <v>36924</v>
      </c>
      <c r="Z55" s="24">
        <v>701</v>
      </c>
      <c r="AA55" s="24">
        <v>6242</v>
      </c>
      <c r="AB55" s="24">
        <v>2795</v>
      </c>
      <c r="AC55" s="24">
        <v>2795</v>
      </c>
      <c r="AD55" s="24">
        <v>1052</v>
      </c>
      <c r="AE55" s="24">
        <v>1052</v>
      </c>
      <c r="AF55" s="24">
        <v>-248</v>
      </c>
      <c r="AG55" s="24">
        <v>-248</v>
      </c>
      <c r="AH55" s="24">
        <v>989.54</v>
      </c>
      <c r="AI55" s="24">
        <v>989.54</v>
      </c>
      <c r="AJ55" s="24">
        <v>6939.62</v>
      </c>
      <c r="AK55" s="24">
        <v>19919.45</v>
      </c>
      <c r="AL55" s="24">
        <v>-657</v>
      </c>
      <c r="AM55" s="24">
        <v>-657</v>
      </c>
      <c r="AN55" s="24">
        <v>2752</v>
      </c>
      <c r="AO55" s="24">
        <v>2752</v>
      </c>
      <c r="AP55" s="24">
        <v>7</v>
      </c>
      <c r="AQ55" s="24">
        <v>7</v>
      </c>
      <c r="AR55" s="24">
        <v>7611</v>
      </c>
      <c r="AS55" s="24">
        <v>7611</v>
      </c>
      <c r="AT55" s="24">
        <v>2411</v>
      </c>
      <c r="AU55" s="24">
        <v>2411</v>
      </c>
      <c r="AV55" s="24">
        <v>41170</v>
      </c>
      <c r="AW55" s="24">
        <v>41170</v>
      </c>
      <c r="AX55" s="24">
        <v>1271</v>
      </c>
      <c r="AY55" s="24">
        <v>1271</v>
      </c>
      <c r="AZ55" s="24">
        <v>10059</v>
      </c>
      <c r="BA55" s="24">
        <v>10059</v>
      </c>
      <c r="BB55" s="24">
        <v>10728</v>
      </c>
      <c r="BC55" s="24">
        <v>10728</v>
      </c>
      <c r="BD55" s="24"/>
      <c r="BE55" s="24">
        <v>29973</v>
      </c>
      <c r="BF55" s="24">
        <v>5758</v>
      </c>
      <c r="BG55" s="24">
        <v>5330</v>
      </c>
      <c r="BH55" s="24"/>
      <c r="BI55" s="24"/>
      <c r="BJ55" s="24">
        <v>-5084</v>
      </c>
      <c r="BK55" s="24">
        <v>-5084</v>
      </c>
      <c r="BL55" s="37">
        <f t="shared" si="4"/>
        <v>151611.26</v>
      </c>
      <c r="BM55" s="37">
        <f t="shared" si="4"/>
        <v>199677.09</v>
      </c>
    </row>
    <row r="56" spans="1:65" s="4" customFormat="1" x14ac:dyDescent="0.25">
      <c r="A56" s="26" t="s">
        <v>192</v>
      </c>
      <c r="B56" s="26">
        <v>152</v>
      </c>
      <c r="C56" s="26">
        <v>257</v>
      </c>
      <c r="D56" s="26">
        <v>3503</v>
      </c>
      <c r="E56" s="26">
        <v>7007</v>
      </c>
      <c r="F56" s="26"/>
      <c r="G56" s="26"/>
      <c r="H56" s="26">
        <v>5014</v>
      </c>
      <c r="I56" s="26">
        <v>9815</v>
      </c>
      <c r="J56" s="26">
        <v>8442</v>
      </c>
      <c r="K56" s="26">
        <v>14836</v>
      </c>
      <c r="L56" s="26">
        <v>4524</v>
      </c>
      <c r="M56" s="26">
        <v>8996</v>
      </c>
      <c r="N56" s="26">
        <v>2889</v>
      </c>
      <c r="O56" s="26">
        <v>6492</v>
      </c>
      <c r="P56" s="26"/>
      <c r="Q56" s="26"/>
      <c r="R56" s="26">
        <v>177.81</v>
      </c>
      <c r="S56" s="26">
        <v>342.02</v>
      </c>
      <c r="T56" s="26">
        <v>2117.23</v>
      </c>
      <c r="U56" s="26">
        <v>4170.07</v>
      </c>
      <c r="V56" s="26">
        <v>10336</v>
      </c>
      <c r="W56" s="26">
        <v>20524</v>
      </c>
      <c r="X56" s="26">
        <v>11162</v>
      </c>
      <c r="Y56" s="26">
        <v>21672</v>
      </c>
      <c r="Z56" s="26">
        <v>2695</v>
      </c>
      <c r="AA56" s="26">
        <v>5576</v>
      </c>
      <c r="AB56" s="26">
        <v>818</v>
      </c>
      <c r="AC56" s="26">
        <v>1548</v>
      </c>
      <c r="AD56" s="26">
        <v>524</v>
      </c>
      <c r="AE56" s="26">
        <v>944</v>
      </c>
      <c r="AF56" s="26">
        <v>153</v>
      </c>
      <c r="AG56" s="26">
        <v>286</v>
      </c>
      <c r="AH56" s="26">
        <v>487.53</v>
      </c>
      <c r="AI56" s="26">
        <v>851.74</v>
      </c>
      <c r="AJ56" s="26">
        <v>11106.38</v>
      </c>
      <c r="AK56" s="26">
        <v>23488.92</v>
      </c>
      <c r="AL56" s="26">
        <v>98</v>
      </c>
      <c r="AM56" s="26">
        <v>199</v>
      </c>
      <c r="AN56" s="26">
        <v>1346</v>
      </c>
      <c r="AO56" s="26">
        <v>2608</v>
      </c>
      <c r="AP56" s="26">
        <v>1</v>
      </c>
      <c r="AQ56" s="26">
        <v>3</v>
      </c>
      <c r="AR56" s="26">
        <v>1742</v>
      </c>
      <c r="AS56" s="26">
        <v>3245</v>
      </c>
      <c r="AT56" s="26">
        <v>927</v>
      </c>
      <c r="AU56" s="26">
        <v>1842</v>
      </c>
      <c r="AV56" s="26">
        <v>15925</v>
      </c>
      <c r="AW56" s="26">
        <v>29783</v>
      </c>
      <c r="AX56" s="26">
        <v>367</v>
      </c>
      <c r="AY56" s="26">
        <v>675</v>
      </c>
      <c r="AZ56" s="26">
        <v>3354</v>
      </c>
      <c r="BA56" s="26">
        <v>6488</v>
      </c>
      <c r="BB56" s="26">
        <v>6631</v>
      </c>
      <c r="BC56" s="26">
        <v>12706</v>
      </c>
      <c r="BD56" s="26"/>
      <c r="BE56" s="26">
        <v>31277</v>
      </c>
      <c r="BF56" s="26">
        <v>14049</v>
      </c>
      <c r="BG56" s="26">
        <v>19905</v>
      </c>
      <c r="BH56" s="26">
        <v>8257</v>
      </c>
      <c r="BI56" s="26">
        <v>12656</v>
      </c>
      <c r="BJ56" s="26">
        <v>2224</v>
      </c>
      <c r="BK56" s="26">
        <v>5240</v>
      </c>
      <c r="BL56" s="39">
        <f t="shared" si="4"/>
        <v>119021.95</v>
      </c>
      <c r="BM56" s="39">
        <f t="shared" si="4"/>
        <v>253432.75</v>
      </c>
    </row>
    <row r="57" spans="1:65" s="4" customFormat="1" x14ac:dyDescent="0.25">
      <c r="BL57" s="23"/>
      <c r="BM57" s="23"/>
    </row>
    <row r="58" spans="1:65" x14ac:dyDescent="0.25">
      <c r="A58" s="7" t="s">
        <v>316</v>
      </c>
    </row>
    <row r="59" spans="1:65" x14ac:dyDescent="0.25">
      <c r="A59" s="42" t="s">
        <v>0</v>
      </c>
      <c r="B59" s="94" t="s">
        <v>1</v>
      </c>
      <c r="C59" s="95"/>
      <c r="D59" s="94" t="s">
        <v>232</v>
      </c>
      <c r="E59" s="95"/>
      <c r="F59" s="94" t="s">
        <v>2</v>
      </c>
      <c r="G59" s="95"/>
      <c r="H59" s="94" t="s">
        <v>3</v>
      </c>
      <c r="I59" s="95"/>
      <c r="J59" s="94" t="s">
        <v>241</v>
      </c>
      <c r="K59" s="95"/>
      <c r="L59" s="94" t="s">
        <v>233</v>
      </c>
      <c r="M59" s="95"/>
      <c r="N59" s="94" t="s">
        <v>246</v>
      </c>
      <c r="O59" s="95"/>
      <c r="P59" s="94" t="s">
        <v>5</v>
      </c>
      <c r="Q59" s="95"/>
      <c r="R59" s="94" t="s">
        <v>4</v>
      </c>
      <c r="S59" s="95"/>
      <c r="T59" s="94" t="s">
        <v>6</v>
      </c>
      <c r="U59" s="95"/>
      <c r="V59" s="94" t="s">
        <v>7</v>
      </c>
      <c r="W59" s="95"/>
      <c r="X59" s="94" t="s">
        <v>8</v>
      </c>
      <c r="Y59" s="95"/>
      <c r="Z59" s="94" t="s">
        <v>9</v>
      </c>
      <c r="AA59" s="95"/>
      <c r="AB59" s="94" t="s">
        <v>240</v>
      </c>
      <c r="AC59" s="95"/>
      <c r="AD59" s="94" t="s">
        <v>10</v>
      </c>
      <c r="AE59" s="95"/>
      <c r="AF59" s="94" t="s">
        <v>11</v>
      </c>
      <c r="AG59" s="95"/>
      <c r="AH59" s="94" t="s">
        <v>234</v>
      </c>
      <c r="AI59" s="95"/>
      <c r="AJ59" s="94" t="s">
        <v>12</v>
      </c>
      <c r="AK59" s="95"/>
      <c r="AL59" s="94" t="s">
        <v>235</v>
      </c>
      <c r="AM59" s="95"/>
      <c r="AN59" s="94" t="s">
        <v>300</v>
      </c>
      <c r="AO59" s="95"/>
      <c r="AP59" s="94" t="s">
        <v>236</v>
      </c>
      <c r="AQ59" s="95"/>
      <c r="AR59" s="94" t="s">
        <v>239</v>
      </c>
      <c r="AS59" s="95"/>
      <c r="AT59" s="94" t="s">
        <v>13</v>
      </c>
      <c r="AU59" s="95"/>
      <c r="AV59" s="94" t="s">
        <v>14</v>
      </c>
      <c r="AW59" s="95"/>
      <c r="AX59" s="94" t="s">
        <v>15</v>
      </c>
      <c r="AY59" s="95"/>
      <c r="AZ59" s="94" t="s">
        <v>16</v>
      </c>
      <c r="BA59" s="95"/>
      <c r="BB59" s="94" t="s">
        <v>17</v>
      </c>
      <c r="BC59" s="95"/>
      <c r="BD59" s="94" t="s">
        <v>237</v>
      </c>
      <c r="BE59" s="95"/>
      <c r="BF59" s="94" t="s">
        <v>238</v>
      </c>
      <c r="BG59" s="95"/>
      <c r="BH59" s="94" t="s">
        <v>18</v>
      </c>
      <c r="BI59" s="95"/>
      <c r="BJ59" s="94" t="s">
        <v>19</v>
      </c>
      <c r="BK59" s="95"/>
      <c r="BL59" s="96" t="s">
        <v>20</v>
      </c>
      <c r="BM59" s="97"/>
    </row>
    <row r="60" spans="1:65" ht="30" x14ac:dyDescent="0.25">
      <c r="A60" s="42"/>
      <c r="B60" s="34" t="s">
        <v>298</v>
      </c>
      <c r="C60" s="35" t="s">
        <v>299</v>
      </c>
      <c r="D60" s="34" t="s">
        <v>298</v>
      </c>
      <c r="E60" s="35" t="s">
        <v>299</v>
      </c>
      <c r="F60" s="34" t="s">
        <v>298</v>
      </c>
      <c r="G60" s="35" t="s">
        <v>299</v>
      </c>
      <c r="H60" s="34" t="s">
        <v>298</v>
      </c>
      <c r="I60" s="35" t="s">
        <v>299</v>
      </c>
      <c r="J60" s="34" t="s">
        <v>298</v>
      </c>
      <c r="K60" s="35" t="s">
        <v>299</v>
      </c>
      <c r="L60" s="34" t="s">
        <v>298</v>
      </c>
      <c r="M60" s="35" t="s">
        <v>299</v>
      </c>
      <c r="N60" s="34" t="s">
        <v>298</v>
      </c>
      <c r="O60" s="35" t="s">
        <v>299</v>
      </c>
      <c r="P60" s="34" t="s">
        <v>298</v>
      </c>
      <c r="Q60" s="35" t="s">
        <v>299</v>
      </c>
      <c r="R60" s="34" t="s">
        <v>298</v>
      </c>
      <c r="S60" s="35" t="s">
        <v>299</v>
      </c>
      <c r="T60" s="34" t="s">
        <v>298</v>
      </c>
      <c r="U60" s="35" t="s">
        <v>299</v>
      </c>
      <c r="V60" s="34" t="s">
        <v>298</v>
      </c>
      <c r="W60" s="35" t="s">
        <v>299</v>
      </c>
      <c r="X60" s="34" t="s">
        <v>298</v>
      </c>
      <c r="Y60" s="35" t="s">
        <v>299</v>
      </c>
      <c r="Z60" s="34" t="s">
        <v>298</v>
      </c>
      <c r="AA60" s="35" t="s">
        <v>299</v>
      </c>
      <c r="AB60" s="34" t="s">
        <v>298</v>
      </c>
      <c r="AC60" s="35" t="s">
        <v>299</v>
      </c>
      <c r="AD60" s="34" t="s">
        <v>298</v>
      </c>
      <c r="AE60" s="35" t="s">
        <v>299</v>
      </c>
      <c r="AF60" s="34" t="s">
        <v>298</v>
      </c>
      <c r="AG60" s="35" t="s">
        <v>299</v>
      </c>
      <c r="AH60" s="34" t="s">
        <v>298</v>
      </c>
      <c r="AI60" s="35" t="s">
        <v>299</v>
      </c>
      <c r="AJ60" s="34" t="s">
        <v>298</v>
      </c>
      <c r="AK60" s="35" t="s">
        <v>299</v>
      </c>
      <c r="AL60" s="34" t="s">
        <v>298</v>
      </c>
      <c r="AM60" s="35" t="s">
        <v>299</v>
      </c>
      <c r="AN60" s="34" t="s">
        <v>298</v>
      </c>
      <c r="AO60" s="35" t="s">
        <v>299</v>
      </c>
      <c r="AP60" s="34" t="s">
        <v>298</v>
      </c>
      <c r="AQ60" s="35" t="s">
        <v>299</v>
      </c>
      <c r="AR60" s="34" t="s">
        <v>298</v>
      </c>
      <c r="AS60" s="35" t="s">
        <v>299</v>
      </c>
      <c r="AT60" s="34" t="s">
        <v>298</v>
      </c>
      <c r="AU60" s="35" t="s">
        <v>299</v>
      </c>
      <c r="AV60" s="34" t="s">
        <v>298</v>
      </c>
      <c r="AW60" s="35" t="s">
        <v>299</v>
      </c>
      <c r="AX60" s="34" t="s">
        <v>298</v>
      </c>
      <c r="AY60" s="35" t="s">
        <v>299</v>
      </c>
      <c r="AZ60" s="34" t="s">
        <v>298</v>
      </c>
      <c r="BA60" s="35" t="s">
        <v>299</v>
      </c>
      <c r="BB60" s="34" t="s">
        <v>298</v>
      </c>
      <c r="BC60" s="35" t="s">
        <v>299</v>
      </c>
      <c r="BD60" s="34" t="s">
        <v>298</v>
      </c>
      <c r="BE60" s="35" t="s">
        <v>299</v>
      </c>
      <c r="BF60" s="34" t="s">
        <v>298</v>
      </c>
      <c r="BG60" s="35" t="s">
        <v>299</v>
      </c>
      <c r="BH60" s="34" t="s">
        <v>298</v>
      </c>
      <c r="BI60" s="35" t="s">
        <v>299</v>
      </c>
      <c r="BJ60" s="34" t="s">
        <v>298</v>
      </c>
      <c r="BK60" s="35" t="s">
        <v>299</v>
      </c>
      <c r="BL60" s="34" t="s">
        <v>298</v>
      </c>
      <c r="BM60" s="35" t="s">
        <v>299</v>
      </c>
    </row>
    <row r="61" spans="1:65" x14ac:dyDescent="0.25">
      <c r="A61" s="24" t="s">
        <v>272</v>
      </c>
      <c r="B61" s="24">
        <v>2355</v>
      </c>
      <c r="C61" s="24">
        <v>4038</v>
      </c>
      <c r="D61" s="24"/>
      <c r="E61" s="24"/>
      <c r="F61" s="24"/>
      <c r="G61" s="24"/>
      <c r="H61" s="24">
        <v>2009</v>
      </c>
      <c r="I61" s="24">
        <v>4297</v>
      </c>
      <c r="J61" s="24"/>
      <c r="K61" s="24"/>
      <c r="L61" s="24">
        <v>207</v>
      </c>
      <c r="M61" s="24">
        <v>672</v>
      </c>
      <c r="N61" s="24">
        <v>4</v>
      </c>
      <c r="O61" s="24">
        <v>10</v>
      </c>
      <c r="P61" s="24"/>
      <c r="Q61" s="24"/>
      <c r="R61" s="24">
        <v>0.01</v>
      </c>
      <c r="S61" s="24">
        <v>0.02</v>
      </c>
      <c r="T61" s="24">
        <v>635.16999999999996</v>
      </c>
      <c r="U61" s="24">
        <v>1388.48</v>
      </c>
      <c r="V61" s="24">
        <v>67</v>
      </c>
      <c r="W61" s="24">
        <v>116</v>
      </c>
      <c r="X61" s="24">
        <v>2070</v>
      </c>
      <c r="Y61" s="24">
        <v>5300</v>
      </c>
      <c r="Z61" s="24">
        <v>1610</v>
      </c>
      <c r="AA61" s="24">
        <v>3458</v>
      </c>
      <c r="AB61" s="24">
        <v>4</v>
      </c>
      <c r="AC61" s="24">
        <v>4</v>
      </c>
      <c r="AD61" s="24">
        <v>462</v>
      </c>
      <c r="AE61" s="24">
        <v>804</v>
      </c>
      <c r="AF61" s="24">
        <v>2</v>
      </c>
      <c r="AG61" s="24">
        <v>2</v>
      </c>
      <c r="AH61" s="24"/>
      <c r="AI61" s="24"/>
      <c r="AJ61" s="24">
        <v>3390.32</v>
      </c>
      <c r="AK61" s="24">
        <v>6861.19</v>
      </c>
      <c r="AL61" s="24"/>
      <c r="AM61" s="24"/>
      <c r="AN61" s="24"/>
      <c r="AO61" s="24"/>
      <c r="AP61" s="24">
        <v>1709</v>
      </c>
      <c r="AQ61" s="24">
        <v>3347</v>
      </c>
      <c r="AR61" s="24">
        <v>1118</v>
      </c>
      <c r="AS61" s="24">
        <v>2258</v>
      </c>
      <c r="AT61" s="24">
        <v>168</v>
      </c>
      <c r="AU61" s="24">
        <v>314</v>
      </c>
      <c r="AV61" s="24">
        <v>1121</v>
      </c>
      <c r="AW61" s="24">
        <v>2830</v>
      </c>
      <c r="AX61" s="24">
        <v>20</v>
      </c>
      <c r="AY61" s="24">
        <v>52</v>
      </c>
      <c r="AZ61" s="24"/>
      <c r="BA61" s="24"/>
      <c r="BB61" s="24">
        <v>11072</v>
      </c>
      <c r="BC61" s="24">
        <v>22915</v>
      </c>
      <c r="BD61" s="24"/>
      <c r="BE61" s="24">
        <v>10567</v>
      </c>
      <c r="BF61" s="24">
        <v>2442</v>
      </c>
      <c r="BG61" s="24">
        <v>5456</v>
      </c>
      <c r="BH61" s="24">
        <v>3963</v>
      </c>
      <c r="BI61" s="24">
        <v>11439</v>
      </c>
      <c r="BJ61" s="24">
        <v>710</v>
      </c>
      <c r="BK61" s="24">
        <v>1353</v>
      </c>
      <c r="BL61" s="37">
        <f t="shared" ref="BL61:BM67" si="5">SUM(B61+D61+F61+H61+J61+L61+N61+P61+R61+T61+V61+X61+Z61+AB61+AD61+AF61+AH61+AJ61+AL61+AN61+AP61+AR61+AT61+AV61+AX61+AZ61+BB61+BD61+BF61+BH61+BJ61)</f>
        <v>35138.5</v>
      </c>
      <c r="BM61" s="37">
        <f t="shared" si="5"/>
        <v>87481.69</v>
      </c>
    </row>
    <row r="62" spans="1:65" x14ac:dyDescent="0.25">
      <c r="A62" s="24" t="s">
        <v>273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>
        <v>104.23</v>
      </c>
      <c r="U62" s="24">
        <v>170.73</v>
      </c>
      <c r="V62" s="24"/>
      <c r="W62" s="24"/>
      <c r="X62" s="24"/>
      <c r="Y62" s="24">
        <v>2119</v>
      </c>
      <c r="Z62" s="24"/>
      <c r="AA62" s="24"/>
      <c r="AB62" s="24"/>
      <c r="AC62" s="24"/>
      <c r="AD62" s="24">
        <v>160</v>
      </c>
      <c r="AE62" s="24">
        <v>303</v>
      </c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>
        <v>96</v>
      </c>
      <c r="AQ62" s="24">
        <v>202</v>
      </c>
      <c r="AR62" s="24">
        <v>74</v>
      </c>
      <c r="AS62" s="24">
        <v>74</v>
      </c>
      <c r="AT62" s="24"/>
      <c r="AU62" s="24">
        <v>1</v>
      </c>
      <c r="AV62" s="24">
        <v>339</v>
      </c>
      <c r="AW62" s="24">
        <v>476</v>
      </c>
      <c r="AX62" s="24"/>
      <c r="AY62" s="24"/>
      <c r="AZ62" s="24"/>
      <c r="BA62" s="24"/>
      <c r="BB62" s="24">
        <v>1660</v>
      </c>
      <c r="BC62" s="24">
        <v>3155</v>
      </c>
      <c r="BD62" s="24"/>
      <c r="BE62" s="24">
        <v>4</v>
      </c>
      <c r="BF62" s="24">
        <v>692</v>
      </c>
      <c r="BG62" s="24">
        <v>693</v>
      </c>
      <c r="BH62" s="24">
        <v>1367</v>
      </c>
      <c r="BI62" s="24">
        <v>1367</v>
      </c>
      <c r="BJ62" s="24"/>
      <c r="BK62" s="24"/>
      <c r="BL62" s="37">
        <f t="shared" si="5"/>
        <v>4492.2299999999996</v>
      </c>
      <c r="BM62" s="37">
        <f t="shared" si="5"/>
        <v>8564.73</v>
      </c>
    </row>
    <row r="63" spans="1:65" x14ac:dyDescent="0.25">
      <c r="A63" s="24" t="s">
        <v>274</v>
      </c>
      <c r="B63" s="24">
        <v>771</v>
      </c>
      <c r="C63" s="24">
        <v>1535</v>
      </c>
      <c r="D63" s="24"/>
      <c r="E63" s="24"/>
      <c r="F63" s="24"/>
      <c r="G63" s="24"/>
      <c r="H63" s="24">
        <v>-1302</v>
      </c>
      <c r="I63" s="24">
        <v>-2621</v>
      </c>
      <c r="J63" s="24"/>
      <c r="K63" s="24"/>
      <c r="L63" s="24">
        <v>119</v>
      </c>
      <c r="M63" s="24">
        <v>383</v>
      </c>
      <c r="N63" s="24">
        <v>3</v>
      </c>
      <c r="O63" s="24">
        <v>9</v>
      </c>
      <c r="P63" s="24"/>
      <c r="Q63" s="24"/>
      <c r="R63" s="24"/>
      <c r="S63" s="24"/>
      <c r="T63" s="24">
        <v>432.07</v>
      </c>
      <c r="U63" s="24">
        <v>910.35</v>
      </c>
      <c r="V63" s="24">
        <v>-45</v>
      </c>
      <c r="W63" s="24">
        <v>-79</v>
      </c>
      <c r="X63" s="24">
        <v>202</v>
      </c>
      <c r="Y63" s="24">
        <v>3973</v>
      </c>
      <c r="Z63" s="24">
        <v>820</v>
      </c>
      <c r="AA63" s="24">
        <v>1301</v>
      </c>
      <c r="AB63" s="24">
        <v>4</v>
      </c>
      <c r="AC63" s="24">
        <v>4</v>
      </c>
      <c r="AD63" s="24">
        <v>27</v>
      </c>
      <c r="AE63" s="24">
        <v>369</v>
      </c>
      <c r="AF63" s="24">
        <v>-2</v>
      </c>
      <c r="AG63" s="24">
        <v>-2</v>
      </c>
      <c r="AH63" s="24"/>
      <c r="AI63" s="24"/>
      <c r="AJ63" s="24">
        <v>756.42</v>
      </c>
      <c r="AK63" s="24">
        <v>2117.13</v>
      </c>
      <c r="AL63" s="24"/>
      <c r="AM63" s="24"/>
      <c r="AN63" s="24"/>
      <c r="AO63" s="24"/>
      <c r="AP63" s="24">
        <v>789</v>
      </c>
      <c r="AQ63" s="24">
        <v>1249</v>
      </c>
      <c r="AR63" s="24">
        <v>608</v>
      </c>
      <c r="AS63" s="24">
        <v>1046</v>
      </c>
      <c r="AT63" s="24">
        <v>58</v>
      </c>
      <c r="AU63" s="24">
        <v>132</v>
      </c>
      <c r="AV63" s="24">
        <v>1022</v>
      </c>
      <c r="AW63" s="24">
        <v>2283</v>
      </c>
      <c r="AX63" s="24">
        <v>10</v>
      </c>
      <c r="AY63" s="24">
        <v>26</v>
      </c>
      <c r="AZ63" s="24"/>
      <c r="BA63" s="24"/>
      <c r="BB63" s="24">
        <v>11963</v>
      </c>
      <c r="BC63" s="24">
        <v>24210</v>
      </c>
      <c r="BD63" s="24"/>
      <c r="BE63" s="24">
        <v>37</v>
      </c>
      <c r="BF63" s="24">
        <v>1236</v>
      </c>
      <c r="BG63" s="24">
        <v>1929</v>
      </c>
      <c r="BH63" s="24">
        <v>398</v>
      </c>
      <c r="BI63" s="24">
        <v>3600</v>
      </c>
      <c r="BJ63" s="24">
        <v>403</v>
      </c>
      <c r="BK63" s="24">
        <v>531</v>
      </c>
      <c r="BL63" s="37">
        <f t="shared" si="5"/>
        <v>18272.489999999998</v>
      </c>
      <c r="BM63" s="37">
        <f t="shared" si="5"/>
        <v>42942.479999999996</v>
      </c>
    </row>
    <row r="64" spans="1:65" s="4" customFormat="1" x14ac:dyDescent="0.25">
      <c r="A64" s="26" t="s">
        <v>275</v>
      </c>
      <c r="B64" s="26">
        <v>1584</v>
      </c>
      <c r="C64" s="26">
        <v>2503</v>
      </c>
      <c r="D64" s="26"/>
      <c r="E64" s="26"/>
      <c r="F64" s="26"/>
      <c r="G64" s="26"/>
      <c r="H64" s="26">
        <v>707</v>
      </c>
      <c r="I64" s="26">
        <v>1676</v>
      </c>
      <c r="J64" s="26"/>
      <c r="K64" s="26"/>
      <c r="L64" s="26">
        <v>88</v>
      </c>
      <c r="M64" s="26">
        <v>289</v>
      </c>
      <c r="N64" s="26">
        <v>1</v>
      </c>
      <c r="O64" s="26">
        <v>1</v>
      </c>
      <c r="P64" s="26"/>
      <c r="Q64" s="26"/>
      <c r="R64" s="26">
        <v>0.01</v>
      </c>
      <c r="S64" s="26">
        <v>0.02</v>
      </c>
      <c r="T64" s="26">
        <v>307.33</v>
      </c>
      <c r="U64" s="26">
        <v>648.86</v>
      </c>
      <c r="V64" s="26">
        <v>22</v>
      </c>
      <c r="W64" s="26">
        <v>37</v>
      </c>
      <c r="X64" s="26">
        <v>1868</v>
      </c>
      <c r="Y64" s="26">
        <v>3446</v>
      </c>
      <c r="Z64" s="26">
        <v>790</v>
      </c>
      <c r="AA64" s="26">
        <v>2157</v>
      </c>
      <c r="AB64" s="26">
        <v>0</v>
      </c>
      <c r="AC64" s="26">
        <v>0</v>
      </c>
      <c r="AD64" s="26">
        <v>594</v>
      </c>
      <c r="AE64" s="26">
        <v>738</v>
      </c>
      <c r="AF64" s="26">
        <v>0</v>
      </c>
      <c r="AG64" s="26">
        <v>0</v>
      </c>
      <c r="AH64" s="26"/>
      <c r="AI64" s="26"/>
      <c r="AJ64" s="26">
        <v>2633.9</v>
      </c>
      <c r="AK64" s="26">
        <v>4744.0600000000004</v>
      </c>
      <c r="AL64" s="26"/>
      <c r="AM64" s="26"/>
      <c r="AN64" s="26"/>
      <c r="AO64" s="26"/>
      <c r="AP64" s="26">
        <v>1015</v>
      </c>
      <c r="AQ64" s="26">
        <v>2300</v>
      </c>
      <c r="AR64" s="26">
        <v>585</v>
      </c>
      <c r="AS64" s="26">
        <v>1287</v>
      </c>
      <c r="AT64" s="26">
        <v>110</v>
      </c>
      <c r="AU64" s="26">
        <v>183</v>
      </c>
      <c r="AV64" s="26">
        <v>438</v>
      </c>
      <c r="AW64" s="26">
        <v>1023</v>
      </c>
      <c r="AX64" s="26">
        <v>10</v>
      </c>
      <c r="AY64" s="26">
        <v>27</v>
      </c>
      <c r="AZ64" s="26"/>
      <c r="BA64" s="26"/>
      <c r="BB64" s="26">
        <v>769</v>
      </c>
      <c r="BC64" s="26">
        <v>1860</v>
      </c>
      <c r="BD64" s="26"/>
      <c r="BE64" s="26">
        <v>10533</v>
      </c>
      <c r="BF64" s="26">
        <v>1898</v>
      </c>
      <c r="BG64" s="26">
        <v>4220</v>
      </c>
      <c r="BH64" s="26">
        <v>4932</v>
      </c>
      <c r="BI64" s="26">
        <v>9206</v>
      </c>
      <c r="BJ64" s="26">
        <v>307</v>
      </c>
      <c r="BK64" s="26">
        <v>822</v>
      </c>
      <c r="BL64" s="39">
        <f t="shared" si="5"/>
        <v>18659.239999999998</v>
      </c>
      <c r="BM64" s="39">
        <f t="shared" si="5"/>
        <v>47700.94</v>
      </c>
    </row>
    <row r="65" spans="1:65" x14ac:dyDescent="0.25">
      <c r="A65" s="24" t="s">
        <v>276</v>
      </c>
      <c r="B65" s="24">
        <v>1963</v>
      </c>
      <c r="C65" s="24">
        <v>1537</v>
      </c>
      <c r="D65" s="24"/>
      <c r="E65" s="24"/>
      <c r="F65" s="24"/>
      <c r="G65" s="24"/>
      <c r="H65" s="24">
        <v>1495</v>
      </c>
      <c r="I65" s="24">
        <v>1099</v>
      </c>
      <c r="J65" s="24"/>
      <c r="K65" s="24"/>
      <c r="L65" s="24">
        <v>467</v>
      </c>
      <c r="M65" s="24">
        <v>424</v>
      </c>
      <c r="N65" s="24">
        <v>1</v>
      </c>
      <c r="O65" s="24">
        <v>1</v>
      </c>
      <c r="P65" s="24"/>
      <c r="Q65" s="24"/>
      <c r="R65" s="24">
        <v>0.02</v>
      </c>
      <c r="S65" s="24">
        <v>0.01</v>
      </c>
      <c r="T65" s="24">
        <v>672.23</v>
      </c>
      <c r="U65" s="24">
        <v>631.59</v>
      </c>
      <c r="V65" s="24">
        <v>38</v>
      </c>
      <c r="W65" s="24">
        <v>42</v>
      </c>
      <c r="X65" s="24">
        <v>3962</v>
      </c>
      <c r="Y65" s="24">
        <v>3381</v>
      </c>
      <c r="Z65" s="24"/>
      <c r="AA65" s="24">
        <v>1633</v>
      </c>
      <c r="AB65" s="24">
        <v>0</v>
      </c>
      <c r="AC65" s="24"/>
      <c r="AD65" s="24">
        <v>769</v>
      </c>
      <c r="AE65" s="24">
        <v>882</v>
      </c>
      <c r="AF65" s="24">
        <v>1</v>
      </c>
      <c r="AG65" s="24">
        <v>1</v>
      </c>
      <c r="AH65" s="24"/>
      <c r="AI65" s="24"/>
      <c r="AJ65" s="24"/>
      <c r="AK65" s="24">
        <v>3544.24</v>
      </c>
      <c r="AL65" s="24"/>
      <c r="AM65" s="24"/>
      <c r="AN65" s="24"/>
      <c r="AO65" s="24"/>
      <c r="AP65" s="24">
        <v>4379</v>
      </c>
      <c r="AQ65" s="24">
        <v>4465</v>
      </c>
      <c r="AR65" s="24">
        <v>1105</v>
      </c>
      <c r="AS65" s="24">
        <v>875</v>
      </c>
      <c r="AT65" s="24">
        <v>129</v>
      </c>
      <c r="AU65" s="24">
        <v>133</v>
      </c>
      <c r="AV65" s="24">
        <v>1135</v>
      </c>
      <c r="AW65" s="24">
        <v>1015</v>
      </c>
      <c r="AX65" s="24">
        <v>30</v>
      </c>
      <c r="AY65" s="24">
        <v>26</v>
      </c>
      <c r="AZ65" s="24"/>
      <c r="BA65" s="24"/>
      <c r="BB65" s="24">
        <v>3580</v>
      </c>
      <c r="BC65" s="24">
        <v>3332</v>
      </c>
      <c r="BD65" s="24"/>
      <c r="BE65" s="24">
        <v>2761</v>
      </c>
      <c r="BF65" s="24">
        <v>0</v>
      </c>
      <c r="BG65" s="24">
        <v>0</v>
      </c>
      <c r="BH65" s="24"/>
      <c r="BI65" s="24"/>
      <c r="BJ65" s="24">
        <v>566</v>
      </c>
      <c r="BK65" s="24">
        <v>278</v>
      </c>
      <c r="BL65" s="37">
        <f t="shared" si="5"/>
        <v>20292.25</v>
      </c>
      <c r="BM65" s="37">
        <f t="shared" si="5"/>
        <v>26060.84</v>
      </c>
    </row>
    <row r="66" spans="1:65" x14ac:dyDescent="0.25">
      <c r="A66" s="36" t="s">
        <v>277</v>
      </c>
      <c r="B66" s="24">
        <v>3004</v>
      </c>
      <c r="C66" s="24">
        <v>3004</v>
      </c>
      <c r="D66" s="24"/>
      <c r="E66" s="24"/>
      <c r="F66" s="24"/>
      <c r="G66" s="24"/>
      <c r="H66" s="24">
        <v>1556</v>
      </c>
      <c r="I66" s="24">
        <v>1556</v>
      </c>
      <c r="J66" s="24"/>
      <c r="K66" s="24"/>
      <c r="L66" s="24">
        <v>422</v>
      </c>
      <c r="M66" s="24">
        <v>422</v>
      </c>
      <c r="N66" s="24">
        <v>1</v>
      </c>
      <c r="O66" s="24">
        <v>1</v>
      </c>
      <c r="P66" s="24"/>
      <c r="Q66" s="24"/>
      <c r="R66" s="24">
        <v>0.01</v>
      </c>
      <c r="S66" s="24">
        <v>0.01</v>
      </c>
      <c r="T66" s="24">
        <v>685.41</v>
      </c>
      <c r="U66" s="24">
        <v>685.41</v>
      </c>
      <c r="V66" s="24">
        <v>-41</v>
      </c>
      <c r="W66" s="24">
        <v>-41</v>
      </c>
      <c r="X66" s="24">
        <v>4788</v>
      </c>
      <c r="Y66" s="24">
        <v>4788</v>
      </c>
      <c r="Z66" s="24">
        <v>-189</v>
      </c>
      <c r="AA66" s="24">
        <v>1883</v>
      </c>
      <c r="AB66" s="24">
        <v>0</v>
      </c>
      <c r="AC66" s="24">
        <v>0</v>
      </c>
      <c r="AD66" s="24">
        <v>1043</v>
      </c>
      <c r="AE66" s="24">
        <v>1043</v>
      </c>
      <c r="AF66" s="24">
        <v>-1</v>
      </c>
      <c r="AG66" s="24">
        <v>-1</v>
      </c>
      <c r="AH66" s="24"/>
      <c r="AI66" s="24"/>
      <c r="AJ66" s="24">
        <v>344.58</v>
      </c>
      <c r="AK66" s="24">
        <v>3974.01</v>
      </c>
      <c r="AL66" s="24"/>
      <c r="AM66" s="24"/>
      <c r="AN66" s="24"/>
      <c r="AO66" s="24"/>
      <c r="AP66" s="24">
        <v>4125</v>
      </c>
      <c r="AQ66" s="24">
        <v>4125</v>
      </c>
      <c r="AR66" s="24">
        <v>1159</v>
      </c>
      <c r="AS66" s="24">
        <v>1159</v>
      </c>
      <c r="AT66" s="24">
        <v>163</v>
      </c>
      <c r="AU66" s="24">
        <v>163</v>
      </c>
      <c r="AV66" s="24">
        <v>1041</v>
      </c>
      <c r="AW66" s="24">
        <v>1041</v>
      </c>
      <c r="AX66" s="24">
        <v>26</v>
      </c>
      <c r="AY66" s="24">
        <v>26</v>
      </c>
      <c r="AZ66" s="24"/>
      <c r="BA66" s="24"/>
      <c r="BB66" s="24">
        <v>3464</v>
      </c>
      <c r="BC66" s="24">
        <v>3464</v>
      </c>
      <c r="BD66" s="24"/>
      <c r="BE66" s="24">
        <v>3676</v>
      </c>
      <c r="BF66" s="24">
        <v>135</v>
      </c>
      <c r="BG66" s="24">
        <v>530</v>
      </c>
      <c r="BH66" s="24"/>
      <c r="BI66" s="24"/>
      <c r="BJ66" s="24">
        <v>-615</v>
      </c>
      <c r="BK66" s="24">
        <v>-615</v>
      </c>
      <c r="BL66" s="37">
        <f t="shared" si="5"/>
        <v>21111</v>
      </c>
      <c r="BM66" s="37">
        <f t="shared" si="5"/>
        <v>30883.43</v>
      </c>
    </row>
    <row r="67" spans="1:65" s="4" customFormat="1" x14ac:dyDescent="0.25">
      <c r="A67" s="26" t="s">
        <v>192</v>
      </c>
      <c r="B67" s="26">
        <v>543</v>
      </c>
      <c r="C67" s="26">
        <v>1036</v>
      </c>
      <c r="D67" s="26"/>
      <c r="E67" s="26"/>
      <c r="F67" s="26"/>
      <c r="G67" s="26"/>
      <c r="H67" s="26">
        <v>645</v>
      </c>
      <c r="I67" s="26">
        <v>1219</v>
      </c>
      <c r="J67" s="26"/>
      <c r="K67" s="26"/>
      <c r="L67" s="26">
        <v>134</v>
      </c>
      <c r="M67" s="26">
        <v>292</v>
      </c>
      <c r="N67" s="26">
        <v>1</v>
      </c>
      <c r="O67" s="26">
        <v>1</v>
      </c>
      <c r="P67" s="26"/>
      <c r="Q67" s="26"/>
      <c r="R67" s="26">
        <v>0.02</v>
      </c>
      <c r="S67" s="26">
        <v>0.02</v>
      </c>
      <c r="T67" s="26">
        <v>294.14</v>
      </c>
      <c r="U67" s="26">
        <v>595.04</v>
      </c>
      <c r="V67" s="26">
        <v>19</v>
      </c>
      <c r="W67" s="26">
        <v>38</v>
      </c>
      <c r="X67" s="26">
        <v>1042</v>
      </c>
      <c r="Y67" s="26">
        <v>2039</v>
      </c>
      <c r="Z67" s="26">
        <v>979</v>
      </c>
      <c r="AA67" s="26">
        <v>1907</v>
      </c>
      <c r="AB67" s="26">
        <v>0</v>
      </c>
      <c r="AC67" s="26">
        <v>0</v>
      </c>
      <c r="AD67" s="26">
        <v>320</v>
      </c>
      <c r="AE67" s="26">
        <v>577</v>
      </c>
      <c r="AF67" s="26">
        <v>0</v>
      </c>
      <c r="AG67" s="26">
        <v>0</v>
      </c>
      <c r="AH67" s="26"/>
      <c r="AI67" s="26"/>
      <c r="AJ67" s="26">
        <v>2289.3200000000002</v>
      </c>
      <c r="AK67" s="26">
        <v>4314.29</v>
      </c>
      <c r="AL67" s="26"/>
      <c r="AM67" s="26"/>
      <c r="AN67" s="26"/>
      <c r="AO67" s="26"/>
      <c r="AP67" s="26">
        <v>1268</v>
      </c>
      <c r="AQ67" s="26">
        <v>2639</v>
      </c>
      <c r="AR67" s="26">
        <v>531</v>
      </c>
      <c r="AS67" s="26">
        <v>1002</v>
      </c>
      <c r="AT67" s="26">
        <v>75</v>
      </c>
      <c r="AU67" s="26">
        <v>152</v>
      </c>
      <c r="AV67" s="26">
        <v>531</v>
      </c>
      <c r="AW67" s="26">
        <v>997</v>
      </c>
      <c r="AX67" s="26">
        <v>14</v>
      </c>
      <c r="AY67" s="26">
        <v>27</v>
      </c>
      <c r="AZ67" s="26"/>
      <c r="BA67" s="26"/>
      <c r="BB67" s="26">
        <v>885</v>
      </c>
      <c r="BC67" s="26">
        <v>1729</v>
      </c>
      <c r="BD67" s="26"/>
      <c r="BE67" s="26">
        <v>9619</v>
      </c>
      <c r="BF67" s="26">
        <v>1763</v>
      </c>
      <c r="BG67" s="26">
        <v>3690</v>
      </c>
      <c r="BH67" s="26">
        <v>4718</v>
      </c>
      <c r="BI67" s="26">
        <v>9378</v>
      </c>
      <c r="BJ67" s="26">
        <v>258</v>
      </c>
      <c r="BK67" s="26">
        <v>486</v>
      </c>
      <c r="BL67" s="39">
        <f t="shared" si="5"/>
        <v>16309.48</v>
      </c>
      <c r="BM67" s="39">
        <f t="shared" si="5"/>
        <v>41737.35</v>
      </c>
    </row>
    <row r="69" spans="1:65" x14ac:dyDescent="0.25">
      <c r="A69" s="7" t="s">
        <v>185</v>
      </c>
    </row>
    <row r="70" spans="1:65" x14ac:dyDescent="0.25">
      <c r="A70" s="42" t="s">
        <v>0</v>
      </c>
      <c r="B70" s="94" t="s">
        <v>1</v>
      </c>
      <c r="C70" s="95"/>
      <c r="D70" s="94" t="s">
        <v>232</v>
      </c>
      <c r="E70" s="95"/>
      <c r="F70" s="94" t="s">
        <v>2</v>
      </c>
      <c r="G70" s="95"/>
      <c r="H70" s="94" t="s">
        <v>3</v>
      </c>
      <c r="I70" s="95"/>
      <c r="J70" s="94" t="s">
        <v>241</v>
      </c>
      <c r="K70" s="95"/>
      <c r="L70" s="94" t="s">
        <v>233</v>
      </c>
      <c r="M70" s="95"/>
      <c r="N70" s="94" t="s">
        <v>246</v>
      </c>
      <c r="O70" s="95"/>
      <c r="P70" s="94" t="s">
        <v>5</v>
      </c>
      <c r="Q70" s="95"/>
      <c r="R70" s="94" t="s">
        <v>4</v>
      </c>
      <c r="S70" s="95"/>
      <c r="T70" s="94" t="s">
        <v>6</v>
      </c>
      <c r="U70" s="95"/>
      <c r="V70" s="94" t="s">
        <v>7</v>
      </c>
      <c r="W70" s="95"/>
      <c r="X70" s="94" t="s">
        <v>8</v>
      </c>
      <c r="Y70" s="95"/>
      <c r="Z70" s="94" t="s">
        <v>9</v>
      </c>
      <c r="AA70" s="95"/>
      <c r="AB70" s="94" t="s">
        <v>240</v>
      </c>
      <c r="AC70" s="95"/>
      <c r="AD70" s="94" t="s">
        <v>10</v>
      </c>
      <c r="AE70" s="95"/>
      <c r="AF70" s="94" t="s">
        <v>11</v>
      </c>
      <c r="AG70" s="95"/>
      <c r="AH70" s="94" t="s">
        <v>234</v>
      </c>
      <c r="AI70" s="95"/>
      <c r="AJ70" s="94" t="s">
        <v>12</v>
      </c>
      <c r="AK70" s="95"/>
      <c r="AL70" s="94" t="s">
        <v>235</v>
      </c>
      <c r="AM70" s="95"/>
      <c r="AN70" s="94" t="s">
        <v>300</v>
      </c>
      <c r="AO70" s="95"/>
      <c r="AP70" s="94" t="s">
        <v>236</v>
      </c>
      <c r="AQ70" s="95"/>
      <c r="AR70" s="94" t="s">
        <v>239</v>
      </c>
      <c r="AS70" s="95"/>
      <c r="AT70" s="94" t="s">
        <v>13</v>
      </c>
      <c r="AU70" s="95"/>
      <c r="AV70" s="94" t="s">
        <v>14</v>
      </c>
      <c r="AW70" s="95"/>
      <c r="AX70" s="94" t="s">
        <v>15</v>
      </c>
      <c r="AY70" s="95"/>
      <c r="AZ70" s="94" t="s">
        <v>16</v>
      </c>
      <c r="BA70" s="95"/>
      <c r="BB70" s="94" t="s">
        <v>17</v>
      </c>
      <c r="BC70" s="95"/>
      <c r="BD70" s="94" t="s">
        <v>237</v>
      </c>
      <c r="BE70" s="95"/>
      <c r="BF70" s="94" t="s">
        <v>238</v>
      </c>
      <c r="BG70" s="95"/>
      <c r="BH70" s="94" t="s">
        <v>18</v>
      </c>
      <c r="BI70" s="95"/>
      <c r="BJ70" s="94" t="s">
        <v>19</v>
      </c>
      <c r="BK70" s="95"/>
      <c r="BL70" s="96" t="s">
        <v>20</v>
      </c>
      <c r="BM70" s="97"/>
    </row>
    <row r="71" spans="1:65" ht="30" x14ac:dyDescent="0.25">
      <c r="A71" s="42"/>
      <c r="B71" s="34" t="s">
        <v>298</v>
      </c>
      <c r="C71" s="35" t="s">
        <v>299</v>
      </c>
      <c r="D71" s="34" t="s">
        <v>298</v>
      </c>
      <c r="E71" s="35" t="s">
        <v>299</v>
      </c>
      <c r="F71" s="34" t="s">
        <v>298</v>
      </c>
      <c r="G71" s="35" t="s">
        <v>299</v>
      </c>
      <c r="H71" s="34" t="s">
        <v>298</v>
      </c>
      <c r="I71" s="35" t="s">
        <v>299</v>
      </c>
      <c r="J71" s="34" t="s">
        <v>298</v>
      </c>
      <c r="K71" s="35" t="s">
        <v>299</v>
      </c>
      <c r="L71" s="34" t="s">
        <v>298</v>
      </c>
      <c r="M71" s="35" t="s">
        <v>299</v>
      </c>
      <c r="N71" s="34" t="s">
        <v>298</v>
      </c>
      <c r="O71" s="35" t="s">
        <v>299</v>
      </c>
      <c r="P71" s="34" t="s">
        <v>298</v>
      </c>
      <c r="Q71" s="35" t="s">
        <v>299</v>
      </c>
      <c r="R71" s="34" t="s">
        <v>298</v>
      </c>
      <c r="S71" s="35" t="s">
        <v>299</v>
      </c>
      <c r="T71" s="34" t="s">
        <v>298</v>
      </c>
      <c r="U71" s="35" t="s">
        <v>299</v>
      </c>
      <c r="V71" s="34" t="s">
        <v>298</v>
      </c>
      <c r="W71" s="35" t="s">
        <v>299</v>
      </c>
      <c r="X71" s="34" t="s">
        <v>298</v>
      </c>
      <c r="Y71" s="35" t="s">
        <v>299</v>
      </c>
      <c r="Z71" s="34" t="s">
        <v>298</v>
      </c>
      <c r="AA71" s="35" t="s">
        <v>299</v>
      </c>
      <c r="AB71" s="34" t="s">
        <v>298</v>
      </c>
      <c r="AC71" s="35" t="s">
        <v>299</v>
      </c>
      <c r="AD71" s="34" t="s">
        <v>298</v>
      </c>
      <c r="AE71" s="35" t="s">
        <v>299</v>
      </c>
      <c r="AF71" s="34" t="s">
        <v>298</v>
      </c>
      <c r="AG71" s="35" t="s">
        <v>299</v>
      </c>
      <c r="AH71" s="34" t="s">
        <v>298</v>
      </c>
      <c r="AI71" s="35" t="s">
        <v>299</v>
      </c>
      <c r="AJ71" s="34" t="s">
        <v>298</v>
      </c>
      <c r="AK71" s="35" t="s">
        <v>299</v>
      </c>
      <c r="AL71" s="34" t="s">
        <v>298</v>
      </c>
      <c r="AM71" s="35" t="s">
        <v>299</v>
      </c>
      <c r="AN71" s="34" t="s">
        <v>298</v>
      </c>
      <c r="AO71" s="35" t="s">
        <v>299</v>
      </c>
      <c r="AP71" s="34" t="s">
        <v>298</v>
      </c>
      <c r="AQ71" s="35" t="s">
        <v>299</v>
      </c>
      <c r="AR71" s="34" t="s">
        <v>298</v>
      </c>
      <c r="AS71" s="35" t="s">
        <v>299</v>
      </c>
      <c r="AT71" s="34" t="s">
        <v>298</v>
      </c>
      <c r="AU71" s="35" t="s">
        <v>299</v>
      </c>
      <c r="AV71" s="34" t="s">
        <v>298</v>
      </c>
      <c r="AW71" s="35" t="s">
        <v>299</v>
      </c>
      <c r="AX71" s="34" t="s">
        <v>298</v>
      </c>
      <c r="AY71" s="35" t="s">
        <v>299</v>
      </c>
      <c r="AZ71" s="34" t="s">
        <v>298</v>
      </c>
      <c r="BA71" s="35" t="s">
        <v>299</v>
      </c>
      <c r="BB71" s="34" t="s">
        <v>298</v>
      </c>
      <c r="BC71" s="35" t="s">
        <v>299</v>
      </c>
      <c r="BD71" s="34" t="s">
        <v>298</v>
      </c>
      <c r="BE71" s="35" t="s">
        <v>299</v>
      </c>
      <c r="BF71" s="34" t="s">
        <v>298</v>
      </c>
      <c r="BG71" s="35" t="s">
        <v>299</v>
      </c>
      <c r="BH71" s="34" t="s">
        <v>298</v>
      </c>
      <c r="BI71" s="35" t="s">
        <v>299</v>
      </c>
      <c r="BJ71" s="34" t="s">
        <v>298</v>
      </c>
      <c r="BK71" s="35" t="s">
        <v>299</v>
      </c>
      <c r="BL71" s="34" t="s">
        <v>298</v>
      </c>
      <c r="BM71" s="35" t="s">
        <v>299</v>
      </c>
    </row>
    <row r="72" spans="1:65" x14ac:dyDescent="0.25">
      <c r="A72" s="24" t="s">
        <v>272</v>
      </c>
      <c r="B72" s="24"/>
      <c r="C72" s="24"/>
      <c r="D72" s="24"/>
      <c r="E72" s="24"/>
      <c r="F72" s="24"/>
      <c r="G72" s="24"/>
      <c r="H72" s="24">
        <v>8019</v>
      </c>
      <c r="I72" s="24">
        <v>15537</v>
      </c>
      <c r="J72" s="24"/>
      <c r="K72" s="24"/>
      <c r="L72" s="24">
        <v>614</v>
      </c>
      <c r="M72" s="24">
        <v>1424</v>
      </c>
      <c r="N72" s="24">
        <v>1401</v>
      </c>
      <c r="O72" s="24">
        <v>3205</v>
      </c>
      <c r="P72" s="24"/>
      <c r="Q72" s="24"/>
      <c r="R72" s="24">
        <v>114.58</v>
      </c>
      <c r="S72" s="24">
        <v>341.6</v>
      </c>
      <c r="T72" s="24">
        <v>1735.44</v>
      </c>
      <c r="U72" s="24">
        <v>3703.68</v>
      </c>
      <c r="V72" s="24">
        <v>4925</v>
      </c>
      <c r="W72" s="24">
        <v>10498</v>
      </c>
      <c r="X72" s="24">
        <v>15088</v>
      </c>
      <c r="Y72" s="24">
        <v>32063</v>
      </c>
      <c r="Z72" s="24">
        <v>3766</v>
      </c>
      <c r="AA72" s="24">
        <v>8178</v>
      </c>
      <c r="AB72" s="24">
        <v>210</v>
      </c>
      <c r="AC72" s="24">
        <v>414</v>
      </c>
      <c r="AD72" s="24">
        <v>867</v>
      </c>
      <c r="AE72" s="24">
        <v>1754</v>
      </c>
      <c r="AF72" s="24">
        <v>137</v>
      </c>
      <c r="AG72" s="24">
        <v>200</v>
      </c>
      <c r="AH72" s="24"/>
      <c r="AI72" s="24"/>
      <c r="AJ72" s="24">
        <v>8697.2199999999993</v>
      </c>
      <c r="AK72" s="24">
        <v>17033.72</v>
      </c>
      <c r="AL72" s="24"/>
      <c r="AM72" s="24"/>
      <c r="AN72" s="24"/>
      <c r="AO72" s="24"/>
      <c r="AP72" s="24">
        <v>72</v>
      </c>
      <c r="AQ72" s="24">
        <v>145</v>
      </c>
      <c r="AR72" s="24">
        <v>5766</v>
      </c>
      <c r="AS72" s="24">
        <v>12996</v>
      </c>
      <c r="AT72" s="24">
        <v>1228</v>
      </c>
      <c r="AU72" s="24">
        <v>2923</v>
      </c>
      <c r="AV72" s="24">
        <v>2306</v>
      </c>
      <c r="AW72" s="24">
        <v>3843</v>
      </c>
      <c r="AX72" s="24">
        <v>380</v>
      </c>
      <c r="AY72" s="24">
        <v>724</v>
      </c>
      <c r="AZ72" s="24"/>
      <c r="BA72" s="24"/>
      <c r="BB72" s="24">
        <v>4047</v>
      </c>
      <c r="BC72" s="24">
        <v>7992</v>
      </c>
      <c r="BD72" s="24"/>
      <c r="BE72" s="24">
        <v>52662</v>
      </c>
      <c r="BF72" s="24">
        <v>10510</v>
      </c>
      <c r="BG72" s="24">
        <v>19099</v>
      </c>
      <c r="BH72" s="24">
        <v>11692</v>
      </c>
      <c r="BI72" s="24">
        <v>21314</v>
      </c>
      <c r="BJ72" s="24">
        <v>355</v>
      </c>
      <c r="BK72" s="24">
        <v>660</v>
      </c>
      <c r="BL72" s="37">
        <f t="shared" ref="BL72:BM78" si="6">SUM(B72+D72+F72+H72+J72+L72+N72+P72+R72+T72+V72+X72+Z72+AB72+AD72+AF72+AH72+AJ72+AL72+AN72+AP72+AR72+AT72+AV72+AX72+AZ72+BB72+BD72+BF72+BH72+BJ72)</f>
        <v>81930.240000000005</v>
      </c>
      <c r="BM72" s="37">
        <f t="shared" si="6"/>
        <v>216710</v>
      </c>
    </row>
    <row r="73" spans="1:65" x14ac:dyDescent="0.25">
      <c r="A73" s="24" t="s">
        <v>273</v>
      </c>
      <c r="B73" s="24"/>
      <c r="C73" s="24"/>
      <c r="D73" s="24"/>
      <c r="E73" s="24"/>
      <c r="F73" s="24"/>
      <c r="G73" s="24"/>
      <c r="H73" s="24">
        <v>232</v>
      </c>
      <c r="I73" s="24">
        <v>237</v>
      </c>
      <c r="J73" s="24"/>
      <c r="K73" s="24"/>
      <c r="L73" s="24">
        <v>83</v>
      </c>
      <c r="M73" s="24">
        <v>153</v>
      </c>
      <c r="N73" s="24">
        <v>632</v>
      </c>
      <c r="O73" s="24">
        <v>771</v>
      </c>
      <c r="P73" s="24"/>
      <c r="Q73" s="24"/>
      <c r="R73" s="24">
        <v>17.46</v>
      </c>
      <c r="S73" s="24">
        <v>30.16</v>
      </c>
      <c r="T73" s="24">
        <v>206.87</v>
      </c>
      <c r="U73" s="24">
        <v>409.37</v>
      </c>
      <c r="V73" s="24">
        <v>98</v>
      </c>
      <c r="W73" s="24">
        <v>347</v>
      </c>
      <c r="X73" s="24">
        <v>637</v>
      </c>
      <c r="Y73" s="24">
        <v>941</v>
      </c>
      <c r="Z73" s="24">
        <v>164</v>
      </c>
      <c r="AA73" s="24">
        <v>170</v>
      </c>
      <c r="AB73" s="24">
        <v>20</v>
      </c>
      <c r="AC73" s="24">
        <v>49</v>
      </c>
      <c r="AD73" s="24">
        <v>4</v>
      </c>
      <c r="AE73" s="24">
        <v>28</v>
      </c>
      <c r="AF73" s="24">
        <v>88</v>
      </c>
      <c r="AG73" s="24">
        <v>130</v>
      </c>
      <c r="AH73" s="24"/>
      <c r="AI73" s="24"/>
      <c r="AJ73" s="24">
        <v>517.36</v>
      </c>
      <c r="AK73" s="24">
        <v>806.83</v>
      </c>
      <c r="AL73" s="24">
        <v>2</v>
      </c>
      <c r="AM73" s="24">
        <v>4</v>
      </c>
      <c r="AN73" s="24"/>
      <c r="AO73" s="24"/>
      <c r="AP73" s="24">
        <v>10</v>
      </c>
      <c r="AQ73" s="24">
        <v>58</v>
      </c>
      <c r="AR73" s="24">
        <v>6</v>
      </c>
      <c r="AS73" s="24">
        <v>149</v>
      </c>
      <c r="AT73" s="24">
        <v>257</v>
      </c>
      <c r="AU73" s="24">
        <v>434</v>
      </c>
      <c r="AV73" s="24">
        <v>15</v>
      </c>
      <c r="AW73" s="24">
        <v>33</v>
      </c>
      <c r="AX73" s="24">
        <v>12</v>
      </c>
      <c r="AY73" s="24">
        <v>131</v>
      </c>
      <c r="AZ73" s="24"/>
      <c r="BA73" s="24"/>
      <c r="BB73" s="24">
        <v>226</v>
      </c>
      <c r="BC73" s="24">
        <v>387</v>
      </c>
      <c r="BD73" s="24"/>
      <c r="BE73" s="24">
        <v>2165</v>
      </c>
      <c r="BF73" s="24">
        <v>1013</v>
      </c>
      <c r="BG73" s="24">
        <v>1871</v>
      </c>
      <c r="BH73" s="24">
        <v>232</v>
      </c>
      <c r="BI73" s="24">
        <v>424</v>
      </c>
      <c r="BJ73" s="24">
        <v>5</v>
      </c>
      <c r="BK73" s="24">
        <v>39</v>
      </c>
      <c r="BL73" s="37">
        <f t="shared" si="6"/>
        <v>4477.6900000000005</v>
      </c>
      <c r="BM73" s="37">
        <f t="shared" si="6"/>
        <v>9767.36</v>
      </c>
    </row>
    <row r="74" spans="1:65" x14ac:dyDescent="0.25">
      <c r="A74" s="24" t="s">
        <v>274</v>
      </c>
      <c r="B74" s="24"/>
      <c r="C74" s="24"/>
      <c r="D74" s="24"/>
      <c r="E74" s="24"/>
      <c r="F74" s="24"/>
      <c r="G74" s="24"/>
      <c r="H74" s="24">
        <v>-7349</v>
      </c>
      <c r="I74" s="24">
        <v>-14326</v>
      </c>
      <c r="J74" s="24"/>
      <c r="K74" s="24"/>
      <c r="L74" s="24">
        <v>490</v>
      </c>
      <c r="M74" s="24">
        <v>1058</v>
      </c>
      <c r="N74" s="24">
        <v>1814</v>
      </c>
      <c r="O74" s="24">
        <v>3549</v>
      </c>
      <c r="P74" s="24"/>
      <c r="Q74" s="24"/>
      <c r="R74" s="24">
        <v>115.41</v>
      </c>
      <c r="S74" s="24">
        <v>321.61</v>
      </c>
      <c r="T74" s="24">
        <v>1468.79</v>
      </c>
      <c r="U74" s="24">
        <v>3094.54</v>
      </c>
      <c r="V74" s="24">
        <v>-4375</v>
      </c>
      <c r="W74" s="24">
        <v>-9131</v>
      </c>
      <c r="X74" s="24">
        <v>11011</v>
      </c>
      <c r="Y74" s="24">
        <v>23376</v>
      </c>
      <c r="Z74" s="24">
        <v>3313</v>
      </c>
      <c r="AA74" s="24">
        <v>7278</v>
      </c>
      <c r="AB74" s="24">
        <v>169</v>
      </c>
      <c r="AC74" s="24">
        <v>353</v>
      </c>
      <c r="AD74" s="24">
        <v>586</v>
      </c>
      <c r="AE74" s="24">
        <v>1498</v>
      </c>
      <c r="AF74" s="24">
        <v>-185</v>
      </c>
      <c r="AG74" s="24">
        <v>-264</v>
      </c>
      <c r="AH74" s="24"/>
      <c r="AI74" s="24"/>
      <c r="AJ74" s="24">
        <v>2961.47</v>
      </c>
      <c r="AK74" s="24">
        <v>6015.75</v>
      </c>
      <c r="AL74" s="24"/>
      <c r="AM74" s="24"/>
      <c r="AN74" s="24"/>
      <c r="AO74" s="24"/>
      <c r="AP74" s="24">
        <v>77</v>
      </c>
      <c r="AQ74" s="24">
        <v>178</v>
      </c>
      <c r="AR74" s="24">
        <v>4391</v>
      </c>
      <c r="AS74" s="24">
        <v>10257</v>
      </c>
      <c r="AT74" s="24">
        <v>1247</v>
      </c>
      <c r="AU74" s="24">
        <v>2811</v>
      </c>
      <c r="AV74" s="24">
        <v>1822</v>
      </c>
      <c r="AW74" s="24">
        <v>2808</v>
      </c>
      <c r="AX74" s="24">
        <v>257</v>
      </c>
      <c r="AY74" s="24">
        <v>447</v>
      </c>
      <c r="AZ74" s="24"/>
      <c r="BA74" s="24"/>
      <c r="BB74" s="24">
        <v>3395</v>
      </c>
      <c r="BC74" s="24">
        <v>6597</v>
      </c>
      <c r="BD74" s="24"/>
      <c r="BE74" s="24">
        <v>30604</v>
      </c>
      <c r="BF74" s="24">
        <v>5726</v>
      </c>
      <c r="BG74" s="24">
        <v>9844</v>
      </c>
      <c r="BH74" s="24">
        <v>5565</v>
      </c>
      <c r="BI74" s="24">
        <v>9568</v>
      </c>
      <c r="BJ74" s="24">
        <v>401</v>
      </c>
      <c r="BK74" s="24">
        <v>693</v>
      </c>
      <c r="BL74" s="37">
        <f t="shared" si="6"/>
        <v>32900.67</v>
      </c>
      <c r="BM74" s="37">
        <f t="shared" si="6"/>
        <v>96629.9</v>
      </c>
    </row>
    <row r="75" spans="1:65" s="4" customFormat="1" x14ac:dyDescent="0.25">
      <c r="A75" s="26" t="s">
        <v>275</v>
      </c>
      <c r="B75" s="26"/>
      <c r="C75" s="26"/>
      <c r="D75" s="26"/>
      <c r="E75" s="26"/>
      <c r="F75" s="26"/>
      <c r="G75" s="26"/>
      <c r="H75" s="26">
        <v>902</v>
      </c>
      <c r="I75" s="26">
        <v>1447</v>
      </c>
      <c r="J75" s="26"/>
      <c r="K75" s="26"/>
      <c r="L75" s="26">
        <v>208</v>
      </c>
      <c r="M75" s="26">
        <v>518</v>
      </c>
      <c r="N75" s="26">
        <v>219</v>
      </c>
      <c r="O75" s="26">
        <v>427</v>
      </c>
      <c r="P75" s="26"/>
      <c r="Q75" s="26"/>
      <c r="R75" s="26">
        <v>16.63</v>
      </c>
      <c r="S75" s="26">
        <v>50.15</v>
      </c>
      <c r="T75" s="26">
        <v>473.52</v>
      </c>
      <c r="U75" s="26">
        <v>1018.51</v>
      </c>
      <c r="V75" s="26">
        <v>649</v>
      </c>
      <c r="W75" s="26">
        <v>1714</v>
      </c>
      <c r="X75" s="26">
        <v>4714</v>
      </c>
      <c r="Y75" s="26">
        <v>9628</v>
      </c>
      <c r="Z75" s="26">
        <v>617</v>
      </c>
      <c r="AA75" s="26">
        <v>1070</v>
      </c>
      <c r="AB75" s="26">
        <v>61</v>
      </c>
      <c r="AC75" s="26">
        <v>110</v>
      </c>
      <c r="AD75" s="26">
        <v>285</v>
      </c>
      <c r="AE75" s="26">
        <v>284</v>
      </c>
      <c r="AF75" s="26">
        <v>40</v>
      </c>
      <c r="AG75" s="26">
        <v>66</v>
      </c>
      <c r="AH75" s="26"/>
      <c r="AI75" s="26"/>
      <c r="AJ75" s="26">
        <v>6253.12</v>
      </c>
      <c r="AK75" s="26">
        <v>11824.8</v>
      </c>
      <c r="AL75" s="26">
        <v>2</v>
      </c>
      <c r="AM75" s="26">
        <v>4</v>
      </c>
      <c r="AN75" s="26"/>
      <c r="AO75" s="26"/>
      <c r="AP75" s="26">
        <v>5</v>
      </c>
      <c r="AQ75" s="26">
        <v>26</v>
      </c>
      <c r="AR75" s="26">
        <v>1381</v>
      </c>
      <c r="AS75" s="26">
        <v>2888</v>
      </c>
      <c r="AT75" s="26">
        <v>238</v>
      </c>
      <c r="AU75" s="26">
        <v>546</v>
      </c>
      <c r="AV75" s="26">
        <v>499</v>
      </c>
      <c r="AW75" s="26">
        <v>1069</v>
      </c>
      <c r="AX75" s="26">
        <v>134</v>
      </c>
      <c r="AY75" s="26">
        <v>408</v>
      </c>
      <c r="AZ75" s="26"/>
      <c r="BA75" s="26"/>
      <c r="BB75" s="26">
        <v>878</v>
      </c>
      <c r="BC75" s="26">
        <v>1782</v>
      </c>
      <c r="BD75" s="26"/>
      <c r="BE75" s="26">
        <v>24222</v>
      </c>
      <c r="BF75" s="26">
        <v>5797</v>
      </c>
      <c r="BG75" s="26">
        <v>11127</v>
      </c>
      <c r="BH75" s="26">
        <v>6359</v>
      </c>
      <c r="BI75" s="26">
        <v>12169</v>
      </c>
      <c r="BJ75" s="26">
        <v>-41</v>
      </c>
      <c r="BK75" s="26">
        <v>6</v>
      </c>
      <c r="BL75" s="39">
        <f t="shared" si="6"/>
        <v>29690.27</v>
      </c>
      <c r="BM75" s="39">
        <f t="shared" si="6"/>
        <v>82404.459999999992</v>
      </c>
    </row>
    <row r="76" spans="1:65" x14ac:dyDescent="0.25">
      <c r="A76" s="24" t="s">
        <v>276</v>
      </c>
      <c r="B76" s="24"/>
      <c r="C76" s="24"/>
      <c r="D76" s="24"/>
      <c r="E76" s="24"/>
      <c r="F76" s="24"/>
      <c r="G76" s="24"/>
      <c r="H76" s="24">
        <v>1596</v>
      </c>
      <c r="I76" s="24">
        <v>1640</v>
      </c>
      <c r="J76" s="24"/>
      <c r="K76" s="24"/>
      <c r="L76" s="24">
        <v>764</v>
      </c>
      <c r="M76" s="24">
        <v>691</v>
      </c>
      <c r="N76" s="24">
        <v>433</v>
      </c>
      <c r="O76" s="24">
        <v>283</v>
      </c>
      <c r="P76" s="24"/>
      <c r="Q76" s="24"/>
      <c r="R76" s="24">
        <v>72.08</v>
      </c>
      <c r="S76" s="24">
        <v>53.09</v>
      </c>
      <c r="T76" s="24">
        <v>866.06</v>
      </c>
      <c r="U76" s="24">
        <v>679.63</v>
      </c>
      <c r="V76" s="24">
        <v>2021</v>
      </c>
      <c r="W76" s="24">
        <v>1880</v>
      </c>
      <c r="X76" s="24">
        <v>12341</v>
      </c>
      <c r="Y76" s="24">
        <v>11307</v>
      </c>
      <c r="Z76" s="24"/>
      <c r="AA76" s="24">
        <v>1172</v>
      </c>
      <c r="AB76" s="24">
        <v>71</v>
      </c>
      <c r="AC76" s="24">
        <v>47</v>
      </c>
      <c r="AD76" s="24">
        <v>323</v>
      </c>
      <c r="AE76" s="24">
        <v>521</v>
      </c>
      <c r="AF76" s="24">
        <v>95</v>
      </c>
      <c r="AG76" s="24">
        <v>96</v>
      </c>
      <c r="AH76" s="24"/>
      <c r="AI76" s="24"/>
      <c r="AJ76" s="24"/>
      <c r="AK76" s="24">
        <v>11163.98</v>
      </c>
      <c r="AL76" s="24">
        <v>3</v>
      </c>
      <c r="AM76" s="24">
        <v>3</v>
      </c>
      <c r="AN76" s="24"/>
      <c r="AO76" s="24"/>
      <c r="AP76" s="24">
        <v>45</v>
      </c>
      <c r="AQ76" s="24">
        <v>47</v>
      </c>
      <c r="AR76" s="24">
        <v>1889</v>
      </c>
      <c r="AS76" s="24">
        <v>1528</v>
      </c>
      <c r="AT76" s="24">
        <v>696</v>
      </c>
      <c r="AU76" s="24">
        <v>613</v>
      </c>
      <c r="AV76" s="24">
        <v>1905</v>
      </c>
      <c r="AW76" s="24">
        <v>1824</v>
      </c>
      <c r="AX76" s="24">
        <v>632</v>
      </c>
      <c r="AY76" s="24">
        <v>499</v>
      </c>
      <c r="AZ76" s="24"/>
      <c r="BA76" s="24"/>
      <c r="BB76" s="24">
        <v>2170</v>
      </c>
      <c r="BC76" s="24">
        <v>1871</v>
      </c>
      <c r="BD76" s="24"/>
      <c r="BE76" s="24">
        <v>43951</v>
      </c>
      <c r="BF76" s="24">
        <v>0</v>
      </c>
      <c r="BG76" s="24">
        <v>0</v>
      </c>
      <c r="BH76" s="24"/>
      <c r="BI76" s="24"/>
      <c r="BJ76" s="24">
        <v>96</v>
      </c>
      <c r="BK76" s="24">
        <v>58</v>
      </c>
      <c r="BL76" s="37">
        <f t="shared" si="6"/>
        <v>26018.14</v>
      </c>
      <c r="BM76" s="37">
        <f t="shared" si="6"/>
        <v>79927.7</v>
      </c>
    </row>
    <row r="77" spans="1:65" x14ac:dyDescent="0.25">
      <c r="A77" s="36" t="s">
        <v>277</v>
      </c>
      <c r="B77" s="24"/>
      <c r="C77" s="24"/>
      <c r="D77" s="24"/>
      <c r="E77" s="24"/>
      <c r="F77" s="24"/>
      <c r="G77" s="24"/>
      <c r="H77" s="24">
        <v>1558</v>
      </c>
      <c r="I77" s="24">
        <v>1558</v>
      </c>
      <c r="J77" s="24"/>
      <c r="K77" s="24"/>
      <c r="L77" s="24">
        <v>695</v>
      </c>
      <c r="M77" s="24">
        <v>695</v>
      </c>
      <c r="N77" s="24">
        <v>580</v>
      </c>
      <c r="O77" s="24">
        <v>580</v>
      </c>
      <c r="P77" s="24"/>
      <c r="Q77" s="24"/>
      <c r="R77" s="24">
        <v>67.13</v>
      </c>
      <c r="S77" s="24">
        <v>67.13</v>
      </c>
      <c r="T77" s="24">
        <v>893.29</v>
      </c>
      <c r="U77" s="24">
        <v>893.29</v>
      </c>
      <c r="V77" s="24">
        <v>-1767</v>
      </c>
      <c r="W77" s="24">
        <v>-1767</v>
      </c>
      <c r="X77" s="24">
        <v>12444</v>
      </c>
      <c r="Y77" s="24">
        <v>12444</v>
      </c>
      <c r="Z77" s="24">
        <v>130</v>
      </c>
      <c r="AA77" s="24">
        <v>1276</v>
      </c>
      <c r="AB77" s="24">
        <v>87</v>
      </c>
      <c r="AC77" s="24">
        <v>87</v>
      </c>
      <c r="AD77" s="24">
        <v>403</v>
      </c>
      <c r="AE77" s="24">
        <v>403</v>
      </c>
      <c r="AF77" s="24">
        <v>-104</v>
      </c>
      <c r="AG77" s="24">
        <v>-104</v>
      </c>
      <c r="AH77" s="24"/>
      <c r="AI77" s="24"/>
      <c r="AJ77" s="24">
        <v>1167.6199999999999</v>
      </c>
      <c r="AK77" s="24">
        <v>12041.57</v>
      </c>
      <c r="AL77" s="24">
        <v>-3</v>
      </c>
      <c r="AM77" s="24">
        <v>-3</v>
      </c>
      <c r="AN77" s="24"/>
      <c r="AO77" s="24"/>
      <c r="AP77" s="24">
        <v>31</v>
      </c>
      <c r="AQ77" s="24">
        <v>31</v>
      </c>
      <c r="AR77" s="24">
        <v>2100</v>
      </c>
      <c r="AS77" s="24">
        <v>2100</v>
      </c>
      <c r="AT77" s="24">
        <v>675</v>
      </c>
      <c r="AU77" s="24">
        <v>675</v>
      </c>
      <c r="AV77" s="24">
        <v>1920</v>
      </c>
      <c r="AW77" s="24">
        <v>1920</v>
      </c>
      <c r="AX77" s="24">
        <v>570</v>
      </c>
      <c r="AY77" s="24">
        <v>570</v>
      </c>
      <c r="AZ77" s="24"/>
      <c r="BA77" s="24"/>
      <c r="BB77" s="24">
        <v>2475</v>
      </c>
      <c r="BC77" s="24">
        <v>2475</v>
      </c>
      <c r="BD77" s="24"/>
      <c r="BE77" s="24">
        <v>51712</v>
      </c>
      <c r="BF77" s="24">
        <v>723</v>
      </c>
      <c r="BG77" s="24">
        <v>1113</v>
      </c>
      <c r="BH77" s="24"/>
      <c r="BI77" s="24"/>
      <c r="BJ77" s="24">
        <v>-80</v>
      </c>
      <c r="BK77" s="24">
        <v>-80</v>
      </c>
      <c r="BL77" s="37">
        <f t="shared" si="6"/>
        <v>24565.040000000001</v>
      </c>
      <c r="BM77" s="37">
        <f t="shared" si="6"/>
        <v>88686.989999999991</v>
      </c>
    </row>
    <row r="78" spans="1:65" s="4" customFormat="1" x14ac:dyDescent="0.25">
      <c r="A78" s="26" t="s">
        <v>192</v>
      </c>
      <c r="B78" s="26"/>
      <c r="C78" s="26"/>
      <c r="D78" s="26"/>
      <c r="E78" s="26"/>
      <c r="F78" s="26"/>
      <c r="G78" s="26"/>
      <c r="H78" s="26">
        <v>941</v>
      </c>
      <c r="I78" s="26">
        <v>1529</v>
      </c>
      <c r="J78" s="26"/>
      <c r="K78" s="26"/>
      <c r="L78" s="26">
        <v>277</v>
      </c>
      <c r="M78" s="26">
        <v>515</v>
      </c>
      <c r="N78" s="26">
        <v>72</v>
      </c>
      <c r="O78" s="26">
        <v>130</v>
      </c>
      <c r="P78" s="26"/>
      <c r="Q78" s="26"/>
      <c r="R78" s="26">
        <v>21.58</v>
      </c>
      <c r="S78" s="26">
        <v>36.11</v>
      </c>
      <c r="T78" s="26">
        <v>446.29</v>
      </c>
      <c r="U78" s="26">
        <v>804.84</v>
      </c>
      <c r="V78" s="26">
        <v>903</v>
      </c>
      <c r="W78" s="26">
        <v>1826</v>
      </c>
      <c r="X78" s="26">
        <v>4611</v>
      </c>
      <c r="Y78" s="26">
        <v>8491</v>
      </c>
      <c r="Z78" s="26">
        <v>487</v>
      </c>
      <c r="AA78" s="26">
        <v>966</v>
      </c>
      <c r="AB78" s="26">
        <v>45</v>
      </c>
      <c r="AC78" s="26">
        <v>70</v>
      </c>
      <c r="AD78" s="26">
        <v>205</v>
      </c>
      <c r="AE78" s="26">
        <v>402</v>
      </c>
      <c r="AF78" s="26">
        <v>31</v>
      </c>
      <c r="AG78" s="26">
        <v>57</v>
      </c>
      <c r="AH78" s="26"/>
      <c r="AI78" s="26"/>
      <c r="AJ78" s="26">
        <v>5085.5</v>
      </c>
      <c r="AK78" s="26">
        <v>10947.21</v>
      </c>
      <c r="AL78" s="26">
        <v>2</v>
      </c>
      <c r="AM78" s="26">
        <v>4</v>
      </c>
      <c r="AN78" s="26"/>
      <c r="AO78" s="26"/>
      <c r="AP78" s="26">
        <v>19</v>
      </c>
      <c r="AQ78" s="26">
        <v>41</v>
      </c>
      <c r="AR78" s="26">
        <v>1170</v>
      </c>
      <c r="AS78" s="26">
        <v>2316</v>
      </c>
      <c r="AT78" s="26">
        <v>259</v>
      </c>
      <c r="AU78" s="26">
        <v>484</v>
      </c>
      <c r="AV78" s="26">
        <v>484</v>
      </c>
      <c r="AW78" s="26">
        <v>972</v>
      </c>
      <c r="AX78" s="26">
        <v>196</v>
      </c>
      <c r="AY78" s="26">
        <v>336</v>
      </c>
      <c r="AZ78" s="26"/>
      <c r="BA78" s="26"/>
      <c r="BB78" s="26">
        <v>573</v>
      </c>
      <c r="BC78" s="26">
        <v>1178</v>
      </c>
      <c r="BD78" s="26"/>
      <c r="BE78" s="26">
        <v>16461</v>
      </c>
      <c r="BF78" s="26">
        <v>5074</v>
      </c>
      <c r="BG78" s="26">
        <v>10013</v>
      </c>
      <c r="BH78" s="26">
        <v>5563</v>
      </c>
      <c r="BI78" s="26">
        <v>10594</v>
      </c>
      <c r="BJ78" s="26">
        <v>-25</v>
      </c>
      <c r="BK78" s="26">
        <v>-16</v>
      </c>
      <c r="BL78" s="39">
        <f t="shared" si="6"/>
        <v>26440.37</v>
      </c>
      <c r="BM78" s="39">
        <f t="shared" si="6"/>
        <v>68157.16</v>
      </c>
    </row>
    <row r="80" spans="1:65" x14ac:dyDescent="0.25">
      <c r="A80" s="7" t="s">
        <v>188</v>
      </c>
    </row>
    <row r="81" spans="1:65" x14ac:dyDescent="0.25">
      <c r="A81" s="42" t="s">
        <v>0</v>
      </c>
      <c r="B81" s="94" t="s">
        <v>1</v>
      </c>
      <c r="C81" s="95"/>
      <c r="D81" s="94" t="s">
        <v>232</v>
      </c>
      <c r="E81" s="95"/>
      <c r="F81" s="94" t="s">
        <v>2</v>
      </c>
      <c r="G81" s="95"/>
      <c r="H81" s="94" t="s">
        <v>3</v>
      </c>
      <c r="I81" s="95"/>
      <c r="J81" s="94" t="s">
        <v>241</v>
      </c>
      <c r="K81" s="95"/>
      <c r="L81" s="94" t="s">
        <v>233</v>
      </c>
      <c r="M81" s="95"/>
      <c r="N81" s="94" t="s">
        <v>246</v>
      </c>
      <c r="O81" s="95"/>
      <c r="P81" s="94" t="s">
        <v>5</v>
      </c>
      <c r="Q81" s="95"/>
      <c r="R81" s="94" t="s">
        <v>4</v>
      </c>
      <c r="S81" s="95"/>
      <c r="T81" s="94" t="s">
        <v>6</v>
      </c>
      <c r="U81" s="95"/>
      <c r="V81" s="94" t="s">
        <v>7</v>
      </c>
      <c r="W81" s="95"/>
      <c r="X81" s="94" t="s">
        <v>8</v>
      </c>
      <c r="Y81" s="95"/>
      <c r="Z81" s="94" t="s">
        <v>9</v>
      </c>
      <c r="AA81" s="95"/>
      <c r="AB81" s="94" t="s">
        <v>240</v>
      </c>
      <c r="AC81" s="95"/>
      <c r="AD81" s="94" t="s">
        <v>10</v>
      </c>
      <c r="AE81" s="95"/>
      <c r="AF81" s="94" t="s">
        <v>11</v>
      </c>
      <c r="AG81" s="95"/>
      <c r="AH81" s="94" t="s">
        <v>234</v>
      </c>
      <c r="AI81" s="95"/>
      <c r="AJ81" s="94" t="s">
        <v>12</v>
      </c>
      <c r="AK81" s="95"/>
      <c r="AL81" s="94" t="s">
        <v>235</v>
      </c>
      <c r="AM81" s="95"/>
      <c r="AN81" s="94" t="s">
        <v>300</v>
      </c>
      <c r="AO81" s="95"/>
      <c r="AP81" s="94" t="s">
        <v>236</v>
      </c>
      <c r="AQ81" s="95"/>
      <c r="AR81" s="94" t="s">
        <v>239</v>
      </c>
      <c r="AS81" s="95"/>
      <c r="AT81" s="94" t="s">
        <v>13</v>
      </c>
      <c r="AU81" s="95"/>
      <c r="AV81" s="94" t="s">
        <v>14</v>
      </c>
      <c r="AW81" s="95"/>
      <c r="AX81" s="94" t="s">
        <v>15</v>
      </c>
      <c r="AY81" s="95"/>
      <c r="AZ81" s="94" t="s">
        <v>16</v>
      </c>
      <c r="BA81" s="95"/>
      <c r="BB81" s="94" t="s">
        <v>17</v>
      </c>
      <c r="BC81" s="95"/>
      <c r="BD81" s="94" t="s">
        <v>237</v>
      </c>
      <c r="BE81" s="95"/>
      <c r="BF81" s="94" t="s">
        <v>238</v>
      </c>
      <c r="BG81" s="95"/>
      <c r="BH81" s="94" t="s">
        <v>18</v>
      </c>
      <c r="BI81" s="95"/>
      <c r="BJ81" s="94" t="s">
        <v>19</v>
      </c>
      <c r="BK81" s="95"/>
      <c r="BL81" s="96" t="s">
        <v>20</v>
      </c>
      <c r="BM81" s="97"/>
    </row>
    <row r="82" spans="1:65" ht="30" x14ac:dyDescent="0.25">
      <c r="A82" s="42"/>
      <c r="B82" s="34" t="s">
        <v>298</v>
      </c>
      <c r="C82" s="35" t="s">
        <v>299</v>
      </c>
      <c r="D82" s="34" t="s">
        <v>298</v>
      </c>
      <c r="E82" s="35" t="s">
        <v>299</v>
      </c>
      <c r="F82" s="34" t="s">
        <v>298</v>
      </c>
      <c r="G82" s="35" t="s">
        <v>299</v>
      </c>
      <c r="H82" s="34" t="s">
        <v>298</v>
      </c>
      <c r="I82" s="35" t="s">
        <v>299</v>
      </c>
      <c r="J82" s="34" t="s">
        <v>298</v>
      </c>
      <c r="K82" s="35" t="s">
        <v>299</v>
      </c>
      <c r="L82" s="34" t="s">
        <v>298</v>
      </c>
      <c r="M82" s="35" t="s">
        <v>299</v>
      </c>
      <c r="N82" s="34" t="s">
        <v>298</v>
      </c>
      <c r="O82" s="35" t="s">
        <v>299</v>
      </c>
      <c r="P82" s="34" t="s">
        <v>298</v>
      </c>
      <c r="Q82" s="35" t="s">
        <v>299</v>
      </c>
      <c r="R82" s="34" t="s">
        <v>298</v>
      </c>
      <c r="S82" s="35" t="s">
        <v>299</v>
      </c>
      <c r="T82" s="34" t="s">
        <v>298</v>
      </c>
      <c r="U82" s="35" t="s">
        <v>299</v>
      </c>
      <c r="V82" s="34" t="s">
        <v>298</v>
      </c>
      <c r="W82" s="35" t="s">
        <v>299</v>
      </c>
      <c r="X82" s="34" t="s">
        <v>298</v>
      </c>
      <c r="Y82" s="35" t="s">
        <v>299</v>
      </c>
      <c r="Z82" s="34" t="s">
        <v>298</v>
      </c>
      <c r="AA82" s="35" t="s">
        <v>299</v>
      </c>
      <c r="AB82" s="34" t="s">
        <v>298</v>
      </c>
      <c r="AC82" s="35" t="s">
        <v>299</v>
      </c>
      <c r="AD82" s="34" t="s">
        <v>298</v>
      </c>
      <c r="AE82" s="35" t="s">
        <v>299</v>
      </c>
      <c r="AF82" s="34" t="s">
        <v>298</v>
      </c>
      <c r="AG82" s="35" t="s">
        <v>299</v>
      </c>
      <c r="AH82" s="34" t="s">
        <v>298</v>
      </c>
      <c r="AI82" s="35" t="s">
        <v>299</v>
      </c>
      <c r="AJ82" s="34" t="s">
        <v>298</v>
      </c>
      <c r="AK82" s="35" t="s">
        <v>299</v>
      </c>
      <c r="AL82" s="34" t="s">
        <v>298</v>
      </c>
      <c r="AM82" s="35" t="s">
        <v>299</v>
      </c>
      <c r="AN82" s="34" t="s">
        <v>298</v>
      </c>
      <c r="AO82" s="35" t="s">
        <v>299</v>
      </c>
      <c r="AP82" s="34" t="s">
        <v>298</v>
      </c>
      <c r="AQ82" s="35" t="s">
        <v>299</v>
      </c>
      <c r="AR82" s="34" t="s">
        <v>298</v>
      </c>
      <c r="AS82" s="35" t="s">
        <v>299</v>
      </c>
      <c r="AT82" s="34" t="s">
        <v>298</v>
      </c>
      <c r="AU82" s="35" t="s">
        <v>299</v>
      </c>
      <c r="AV82" s="34" t="s">
        <v>298</v>
      </c>
      <c r="AW82" s="35" t="s">
        <v>299</v>
      </c>
      <c r="AX82" s="34" t="s">
        <v>298</v>
      </c>
      <c r="AY82" s="35" t="s">
        <v>299</v>
      </c>
      <c r="AZ82" s="34" t="s">
        <v>298</v>
      </c>
      <c r="BA82" s="35" t="s">
        <v>299</v>
      </c>
      <c r="BB82" s="34" t="s">
        <v>298</v>
      </c>
      <c r="BC82" s="35" t="s">
        <v>299</v>
      </c>
      <c r="BD82" s="34" t="s">
        <v>298</v>
      </c>
      <c r="BE82" s="35" t="s">
        <v>299</v>
      </c>
      <c r="BF82" s="34" t="s">
        <v>298</v>
      </c>
      <c r="BG82" s="35" t="s">
        <v>299</v>
      </c>
      <c r="BH82" s="34" t="s">
        <v>298</v>
      </c>
      <c r="BI82" s="35" t="s">
        <v>299</v>
      </c>
      <c r="BJ82" s="34" t="s">
        <v>298</v>
      </c>
      <c r="BK82" s="35" t="s">
        <v>299</v>
      </c>
      <c r="BL82" s="34" t="s">
        <v>298</v>
      </c>
      <c r="BM82" s="35" t="s">
        <v>299</v>
      </c>
    </row>
    <row r="83" spans="1:65" x14ac:dyDescent="0.25">
      <c r="A83" s="24" t="s">
        <v>272</v>
      </c>
      <c r="B83" s="24"/>
      <c r="C83" s="24"/>
      <c r="D83" s="24"/>
      <c r="E83" s="24"/>
      <c r="F83" s="24"/>
      <c r="G83" s="24"/>
      <c r="H83" s="24">
        <v>99</v>
      </c>
      <c r="I83" s="24">
        <v>553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>
        <v>6.23</v>
      </c>
      <c r="U83" s="24">
        <v>36.68</v>
      </c>
      <c r="V83" s="24">
        <v>461</v>
      </c>
      <c r="W83" s="24">
        <v>851</v>
      </c>
      <c r="X83" s="24">
        <v>3562</v>
      </c>
      <c r="Y83" s="24">
        <v>7646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>
        <v>1422.01</v>
      </c>
      <c r="AK83" s="24">
        <v>2524.04</v>
      </c>
      <c r="AL83" s="24"/>
      <c r="AM83" s="24"/>
      <c r="AN83" s="24"/>
      <c r="AO83" s="24"/>
      <c r="AP83" s="24"/>
      <c r="AQ83" s="24"/>
      <c r="AR83" s="24">
        <v>16</v>
      </c>
      <c r="AS83" s="24">
        <v>1729</v>
      </c>
      <c r="AT83" s="24"/>
      <c r="AU83" s="24"/>
      <c r="AV83" s="24">
        <v>11</v>
      </c>
      <c r="AW83" s="24">
        <v>14</v>
      </c>
      <c r="AX83" s="24"/>
      <c r="AY83" s="24"/>
      <c r="AZ83" s="24"/>
      <c r="BA83" s="24"/>
      <c r="BB83" s="24">
        <v>1946</v>
      </c>
      <c r="BC83" s="24">
        <v>3805</v>
      </c>
      <c r="BD83" s="24"/>
      <c r="BE83" s="24">
        <v>11668</v>
      </c>
      <c r="BF83" s="24">
        <v>2770</v>
      </c>
      <c r="BG83" s="24">
        <v>5939</v>
      </c>
      <c r="BH83" s="24">
        <v>1630</v>
      </c>
      <c r="BI83" s="24">
        <v>3829</v>
      </c>
      <c r="BJ83" s="24"/>
      <c r="BK83" s="24"/>
      <c r="BL83" s="37">
        <f t="shared" ref="BL83:BM89" si="7">SUM(B83+D83+F83+H83+J83+L83+N83+P83+R83+T83+V83+X83+Z83+AB83+AD83+AF83+AH83+AJ83+AL83+AN83+AP83+AR83+AT83+AV83+AX83+AZ83+BB83+BD83+BF83+BH83+BJ83)</f>
        <v>11923.24</v>
      </c>
      <c r="BM83" s="37">
        <f t="shared" si="7"/>
        <v>38594.720000000001</v>
      </c>
    </row>
    <row r="84" spans="1:65" x14ac:dyDescent="0.25">
      <c r="A84" s="24" t="s">
        <v>273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>
        <v>105</v>
      </c>
      <c r="Y84" s="24">
        <v>372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>
        <v>1772.2</v>
      </c>
      <c r="AK84" s="24">
        <v>3621.36</v>
      </c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>
        <v>5362</v>
      </c>
      <c r="BF84" s="24">
        <v>4809</v>
      </c>
      <c r="BG84" s="24">
        <v>5568</v>
      </c>
      <c r="BH84" s="24">
        <v>236</v>
      </c>
      <c r="BI84" s="24">
        <v>545</v>
      </c>
      <c r="BJ84" s="24"/>
      <c r="BK84" s="24"/>
      <c r="BL84" s="37">
        <f t="shared" si="7"/>
        <v>6922.2</v>
      </c>
      <c r="BM84" s="37">
        <f t="shared" si="7"/>
        <v>15468.36</v>
      </c>
    </row>
    <row r="85" spans="1:65" x14ac:dyDescent="0.25">
      <c r="A85" s="24" t="s">
        <v>274</v>
      </c>
      <c r="B85" s="24"/>
      <c r="C85" s="24"/>
      <c r="D85" s="24"/>
      <c r="E85" s="24"/>
      <c r="F85" s="24"/>
      <c r="G85" s="24"/>
      <c r="H85" s="24">
        <v>-68</v>
      </c>
      <c r="I85" s="24">
        <v>-496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>
        <v>0.3</v>
      </c>
      <c r="U85" s="24">
        <v>1.82</v>
      </c>
      <c r="V85" s="24">
        <v>-460</v>
      </c>
      <c r="W85" s="24">
        <v>-851</v>
      </c>
      <c r="X85" s="24">
        <v>3393</v>
      </c>
      <c r="Y85" s="24">
        <v>7192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>
        <v>1043.94</v>
      </c>
      <c r="AK85" s="24">
        <v>2324.31</v>
      </c>
      <c r="AL85" s="24"/>
      <c r="AM85" s="24"/>
      <c r="AN85" s="24"/>
      <c r="AO85" s="24"/>
      <c r="AP85" s="24"/>
      <c r="AQ85" s="24"/>
      <c r="AR85" s="24">
        <v>15</v>
      </c>
      <c r="AS85" s="24">
        <v>930</v>
      </c>
      <c r="AT85" s="24"/>
      <c r="AU85" s="24"/>
      <c r="AV85" s="24">
        <v>11</v>
      </c>
      <c r="AW85" s="24">
        <v>13</v>
      </c>
      <c r="AX85" s="24"/>
      <c r="AY85" s="24"/>
      <c r="AZ85" s="24"/>
      <c r="BA85" s="24"/>
      <c r="BB85" s="24">
        <v>1946</v>
      </c>
      <c r="BC85" s="24">
        <v>3805</v>
      </c>
      <c r="BD85" s="24"/>
      <c r="BE85" s="24">
        <v>12036</v>
      </c>
      <c r="BF85" s="24">
        <v>2279</v>
      </c>
      <c r="BG85" s="24">
        <v>4790</v>
      </c>
      <c r="BH85" s="24">
        <v>1700</v>
      </c>
      <c r="BI85" s="24">
        <v>3719</v>
      </c>
      <c r="BJ85" s="24"/>
      <c r="BK85" s="24"/>
      <c r="BL85" s="37">
        <f t="shared" si="7"/>
        <v>9860.24</v>
      </c>
      <c r="BM85" s="37">
        <f t="shared" si="7"/>
        <v>33464.129999999997</v>
      </c>
    </row>
    <row r="86" spans="1:65" s="4" customFormat="1" x14ac:dyDescent="0.25">
      <c r="A86" s="26" t="s">
        <v>275</v>
      </c>
      <c r="B86" s="26"/>
      <c r="C86" s="26"/>
      <c r="D86" s="26"/>
      <c r="E86" s="26"/>
      <c r="F86" s="26"/>
      <c r="G86" s="26"/>
      <c r="H86" s="26">
        <v>31</v>
      </c>
      <c r="I86" s="26">
        <v>57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>
        <v>5.93</v>
      </c>
      <c r="U86" s="26">
        <v>34.86</v>
      </c>
      <c r="V86" s="26">
        <v>1</v>
      </c>
      <c r="W86" s="26">
        <v>1</v>
      </c>
      <c r="X86" s="26">
        <v>274</v>
      </c>
      <c r="Y86" s="26">
        <v>826</v>
      </c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>
        <v>2150.2800000000002</v>
      </c>
      <c r="AK86" s="26">
        <v>3821.09</v>
      </c>
      <c r="AL86" s="26"/>
      <c r="AM86" s="26"/>
      <c r="AN86" s="26"/>
      <c r="AO86" s="26"/>
      <c r="AP86" s="26"/>
      <c r="AQ86" s="26"/>
      <c r="AR86" s="26">
        <v>1</v>
      </c>
      <c r="AS86" s="26">
        <v>799</v>
      </c>
      <c r="AT86" s="26"/>
      <c r="AU86" s="26"/>
      <c r="AV86" s="26">
        <v>0</v>
      </c>
      <c r="AW86" s="26">
        <v>0</v>
      </c>
      <c r="AX86" s="26"/>
      <c r="AY86" s="26"/>
      <c r="AZ86" s="26"/>
      <c r="BA86" s="26"/>
      <c r="BB86" s="26"/>
      <c r="BC86" s="26"/>
      <c r="BD86" s="26"/>
      <c r="BE86" s="26">
        <v>4994</v>
      </c>
      <c r="BF86" s="26">
        <v>5300</v>
      </c>
      <c r="BG86" s="26">
        <v>6716</v>
      </c>
      <c r="BH86" s="26">
        <v>166</v>
      </c>
      <c r="BI86" s="26">
        <v>655</v>
      </c>
      <c r="BJ86" s="26"/>
      <c r="BK86" s="26"/>
      <c r="BL86" s="39">
        <f t="shared" si="7"/>
        <v>7929.21</v>
      </c>
      <c r="BM86" s="39">
        <f t="shared" si="7"/>
        <v>17903.95</v>
      </c>
    </row>
    <row r="87" spans="1:65" x14ac:dyDescent="0.25">
      <c r="A87" s="24" t="s">
        <v>276</v>
      </c>
      <c r="B87" s="24"/>
      <c r="C87" s="24"/>
      <c r="D87" s="24"/>
      <c r="E87" s="24"/>
      <c r="F87" s="24"/>
      <c r="G87" s="24"/>
      <c r="H87" s="24">
        <v>11</v>
      </c>
      <c r="I87" s="24">
        <v>4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>
        <v>345.17</v>
      </c>
      <c r="U87" s="24">
        <v>489.46</v>
      </c>
      <c r="V87" s="24"/>
      <c r="W87" s="24">
        <v>1</v>
      </c>
      <c r="X87" s="24">
        <v>1050</v>
      </c>
      <c r="Y87" s="24">
        <v>1126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>
        <v>4260.3599999999997</v>
      </c>
      <c r="AL87" s="24"/>
      <c r="AM87" s="24"/>
      <c r="AN87" s="24"/>
      <c r="AO87" s="24"/>
      <c r="AP87" s="24"/>
      <c r="AQ87" s="24"/>
      <c r="AR87" s="24">
        <v>406</v>
      </c>
      <c r="AS87" s="24">
        <v>10</v>
      </c>
      <c r="AT87" s="24"/>
      <c r="AU87" s="24"/>
      <c r="AV87" s="24">
        <v>0</v>
      </c>
      <c r="AW87" s="24">
        <v>0</v>
      </c>
      <c r="AX87" s="24"/>
      <c r="AY87" s="24"/>
      <c r="AZ87" s="24"/>
      <c r="BA87" s="24"/>
      <c r="BB87" s="24"/>
      <c r="BC87" s="24"/>
      <c r="BD87" s="24"/>
      <c r="BE87" s="24">
        <v>5726</v>
      </c>
      <c r="BF87" s="24">
        <v>0</v>
      </c>
      <c r="BG87" s="24">
        <v>0</v>
      </c>
      <c r="BH87" s="24"/>
      <c r="BI87" s="24"/>
      <c r="BJ87" s="24"/>
      <c r="BK87" s="24"/>
      <c r="BL87" s="37">
        <f t="shared" si="7"/>
        <v>1812.17</v>
      </c>
      <c r="BM87" s="37">
        <f t="shared" si="7"/>
        <v>11616.82</v>
      </c>
    </row>
    <row r="88" spans="1:65" x14ac:dyDescent="0.25">
      <c r="A88" s="36" t="s">
        <v>277</v>
      </c>
      <c r="B88" s="24"/>
      <c r="C88" s="24"/>
      <c r="D88" s="24"/>
      <c r="E88" s="24"/>
      <c r="F88" s="24"/>
      <c r="G88" s="24"/>
      <c r="H88" s="24">
        <v>6</v>
      </c>
      <c r="I88" s="24">
        <v>6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>
        <v>175.89</v>
      </c>
      <c r="U88" s="24">
        <v>175.89</v>
      </c>
      <c r="V88" s="24">
        <v>-1</v>
      </c>
      <c r="W88" s="24">
        <v>-1</v>
      </c>
      <c r="X88" s="24">
        <v>781</v>
      </c>
      <c r="Y88" s="24">
        <v>781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>
        <v>35.22</v>
      </c>
      <c r="AK88" s="24">
        <v>4072.7</v>
      </c>
      <c r="AL88" s="24"/>
      <c r="AM88" s="24"/>
      <c r="AN88" s="24"/>
      <c r="AO88" s="24"/>
      <c r="AP88" s="24"/>
      <c r="AQ88" s="24"/>
      <c r="AR88" s="24">
        <v>203</v>
      </c>
      <c r="AS88" s="24">
        <v>203</v>
      </c>
      <c r="AT88" s="24"/>
      <c r="AU88" s="24"/>
      <c r="AV88" s="24">
        <v>0</v>
      </c>
      <c r="AW88" s="24">
        <v>0</v>
      </c>
      <c r="AX88" s="24"/>
      <c r="AY88" s="24"/>
      <c r="AZ88" s="24"/>
      <c r="BA88" s="24"/>
      <c r="BB88" s="24"/>
      <c r="BC88" s="24"/>
      <c r="BD88" s="24"/>
      <c r="BE88" s="24">
        <v>8066</v>
      </c>
      <c r="BF88" s="24">
        <v>906</v>
      </c>
      <c r="BG88" s="24">
        <v>-1063</v>
      </c>
      <c r="BH88" s="24"/>
      <c r="BI88" s="24"/>
      <c r="BJ88" s="24"/>
      <c r="BK88" s="24"/>
      <c r="BL88" s="37">
        <f t="shared" si="7"/>
        <v>2106.11</v>
      </c>
      <c r="BM88" s="37">
        <f t="shared" si="7"/>
        <v>12240.59</v>
      </c>
    </row>
    <row r="89" spans="1:65" s="4" customFormat="1" x14ac:dyDescent="0.25">
      <c r="A89" s="26" t="s">
        <v>192</v>
      </c>
      <c r="B89" s="26"/>
      <c r="C89" s="26"/>
      <c r="D89" s="26"/>
      <c r="E89" s="26"/>
      <c r="F89" s="26"/>
      <c r="G89" s="26"/>
      <c r="H89" s="26">
        <v>36</v>
      </c>
      <c r="I89" s="26">
        <v>55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>
        <v>175.21</v>
      </c>
      <c r="U89" s="26">
        <v>348.43</v>
      </c>
      <c r="V89" s="26"/>
      <c r="W89" s="26">
        <v>1</v>
      </c>
      <c r="X89" s="26">
        <v>543</v>
      </c>
      <c r="Y89" s="26">
        <v>1171</v>
      </c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>
        <v>2115.06</v>
      </c>
      <c r="AK89" s="26">
        <v>4008.75</v>
      </c>
      <c r="AL89" s="26"/>
      <c r="AM89" s="26"/>
      <c r="AN89" s="26"/>
      <c r="AO89" s="26"/>
      <c r="AP89" s="26"/>
      <c r="AQ89" s="26"/>
      <c r="AR89" s="26">
        <v>204</v>
      </c>
      <c r="AS89" s="26">
        <v>607</v>
      </c>
      <c r="AT89" s="26"/>
      <c r="AU89" s="26"/>
      <c r="AV89" s="26">
        <v>0</v>
      </c>
      <c r="AW89" s="26">
        <v>0</v>
      </c>
      <c r="AX89" s="26"/>
      <c r="AY89" s="26"/>
      <c r="AZ89" s="26"/>
      <c r="BA89" s="26"/>
      <c r="BB89" s="26"/>
      <c r="BC89" s="26"/>
      <c r="BD89" s="26"/>
      <c r="BE89" s="26">
        <v>2654</v>
      </c>
      <c r="BF89" s="26">
        <v>4394</v>
      </c>
      <c r="BG89" s="26">
        <v>7779</v>
      </c>
      <c r="BH89" s="26">
        <v>361</v>
      </c>
      <c r="BI89" s="26">
        <v>963</v>
      </c>
      <c r="BJ89" s="26"/>
      <c r="BK89" s="26"/>
      <c r="BL89" s="39">
        <f t="shared" si="7"/>
        <v>7828.27</v>
      </c>
      <c r="BM89" s="39">
        <f t="shared" si="7"/>
        <v>17587.18</v>
      </c>
    </row>
    <row r="91" spans="1:65" x14ac:dyDescent="0.25">
      <c r="A91" s="7" t="s">
        <v>244</v>
      </c>
    </row>
    <row r="92" spans="1:65" x14ac:dyDescent="0.25">
      <c r="A92" s="42" t="s">
        <v>0</v>
      </c>
      <c r="B92" s="94" t="s">
        <v>1</v>
      </c>
      <c r="C92" s="95"/>
      <c r="D92" s="94" t="s">
        <v>232</v>
      </c>
      <c r="E92" s="95"/>
      <c r="F92" s="94" t="s">
        <v>2</v>
      </c>
      <c r="G92" s="95"/>
      <c r="H92" s="94" t="s">
        <v>3</v>
      </c>
      <c r="I92" s="95"/>
      <c r="J92" s="94" t="s">
        <v>241</v>
      </c>
      <c r="K92" s="95"/>
      <c r="L92" s="94" t="s">
        <v>233</v>
      </c>
      <c r="M92" s="95"/>
      <c r="N92" s="94" t="s">
        <v>246</v>
      </c>
      <c r="O92" s="95"/>
      <c r="P92" s="94" t="s">
        <v>5</v>
      </c>
      <c r="Q92" s="95"/>
      <c r="R92" s="94" t="s">
        <v>4</v>
      </c>
      <c r="S92" s="95"/>
      <c r="T92" s="94" t="s">
        <v>6</v>
      </c>
      <c r="U92" s="95"/>
      <c r="V92" s="94" t="s">
        <v>7</v>
      </c>
      <c r="W92" s="95"/>
      <c r="X92" s="94" t="s">
        <v>8</v>
      </c>
      <c r="Y92" s="95"/>
      <c r="Z92" s="94" t="s">
        <v>9</v>
      </c>
      <c r="AA92" s="95"/>
      <c r="AB92" s="94" t="s">
        <v>240</v>
      </c>
      <c r="AC92" s="95"/>
      <c r="AD92" s="94" t="s">
        <v>10</v>
      </c>
      <c r="AE92" s="95"/>
      <c r="AF92" s="94" t="s">
        <v>11</v>
      </c>
      <c r="AG92" s="95"/>
      <c r="AH92" s="94" t="s">
        <v>234</v>
      </c>
      <c r="AI92" s="95"/>
      <c r="AJ92" s="94" t="s">
        <v>12</v>
      </c>
      <c r="AK92" s="95"/>
      <c r="AL92" s="94" t="s">
        <v>235</v>
      </c>
      <c r="AM92" s="95"/>
      <c r="AN92" s="94" t="s">
        <v>300</v>
      </c>
      <c r="AO92" s="95"/>
      <c r="AP92" s="94" t="s">
        <v>236</v>
      </c>
      <c r="AQ92" s="95"/>
      <c r="AR92" s="94" t="s">
        <v>239</v>
      </c>
      <c r="AS92" s="95"/>
      <c r="AT92" s="94" t="s">
        <v>13</v>
      </c>
      <c r="AU92" s="95"/>
      <c r="AV92" s="94" t="s">
        <v>14</v>
      </c>
      <c r="AW92" s="95"/>
      <c r="AX92" s="94" t="s">
        <v>15</v>
      </c>
      <c r="AY92" s="95"/>
      <c r="AZ92" s="94" t="s">
        <v>16</v>
      </c>
      <c r="BA92" s="95"/>
      <c r="BB92" s="94" t="s">
        <v>17</v>
      </c>
      <c r="BC92" s="95"/>
      <c r="BD92" s="94" t="s">
        <v>237</v>
      </c>
      <c r="BE92" s="95"/>
      <c r="BF92" s="94" t="s">
        <v>238</v>
      </c>
      <c r="BG92" s="95"/>
      <c r="BH92" s="94" t="s">
        <v>18</v>
      </c>
      <c r="BI92" s="95"/>
      <c r="BJ92" s="94" t="s">
        <v>19</v>
      </c>
      <c r="BK92" s="95"/>
      <c r="BL92" s="96" t="s">
        <v>20</v>
      </c>
      <c r="BM92" s="97"/>
    </row>
    <row r="93" spans="1:65" ht="30" x14ac:dyDescent="0.25">
      <c r="A93" s="42"/>
      <c r="B93" s="34" t="s">
        <v>298</v>
      </c>
      <c r="C93" s="35" t="s">
        <v>299</v>
      </c>
      <c r="D93" s="34" t="s">
        <v>298</v>
      </c>
      <c r="E93" s="35" t="s">
        <v>299</v>
      </c>
      <c r="F93" s="34" t="s">
        <v>298</v>
      </c>
      <c r="G93" s="35" t="s">
        <v>299</v>
      </c>
      <c r="H93" s="34" t="s">
        <v>298</v>
      </c>
      <c r="I93" s="35" t="s">
        <v>299</v>
      </c>
      <c r="J93" s="34" t="s">
        <v>298</v>
      </c>
      <c r="K93" s="35" t="s">
        <v>299</v>
      </c>
      <c r="L93" s="34" t="s">
        <v>298</v>
      </c>
      <c r="M93" s="35" t="s">
        <v>299</v>
      </c>
      <c r="N93" s="34" t="s">
        <v>298</v>
      </c>
      <c r="O93" s="35" t="s">
        <v>299</v>
      </c>
      <c r="P93" s="34" t="s">
        <v>298</v>
      </c>
      <c r="Q93" s="35" t="s">
        <v>299</v>
      </c>
      <c r="R93" s="34" t="s">
        <v>298</v>
      </c>
      <c r="S93" s="35" t="s">
        <v>299</v>
      </c>
      <c r="T93" s="34" t="s">
        <v>298</v>
      </c>
      <c r="U93" s="35" t="s">
        <v>299</v>
      </c>
      <c r="V93" s="34" t="s">
        <v>298</v>
      </c>
      <c r="W93" s="35" t="s">
        <v>299</v>
      </c>
      <c r="X93" s="34" t="s">
        <v>298</v>
      </c>
      <c r="Y93" s="35" t="s">
        <v>299</v>
      </c>
      <c r="Z93" s="34" t="s">
        <v>298</v>
      </c>
      <c r="AA93" s="35" t="s">
        <v>299</v>
      </c>
      <c r="AB93" s="34" t="s">
        <v>298</v>
      </c>
      <c r="AC93" s="35" t="s">
        <v>299</v>
      </c>
      <c r="AD93" s="34" t="s">
        <v>298</v>
      </c>
      <c r="AE93" s="35" t="s">
        <v>299</v>
      </c>
      <c r="AF93" s="34" t="s">
        <v>298</v>
      </c>
      <c r="AG93" s="35" t="s">
        <v>299</v>
      </c>
      <c r="AH93" s="34" t="s">
        <v>298</v>
      </c>
      <c r="AI93" s="35" t="s">
        <v>299</v>
      </c>
      <c r="AJ93" s="34" t="s">
        <v>298</v>
      </c>
      <c r="AK93" s="35" t="s">
        <v>299</v>
      </c>
      <c r="AL93" s="34" t="s">
        <v>298</v>
      </c>
      <c r="AM93" s="35" t="s">
        <v>299</v>
      </c>
      <c r="AN93" s="34" t="s">
        <v>298</v>
      </c>
      <c r="AO93" s="35" t="s">
        <v>299</v>
      </c>
      <c r="AP93" s="34" t="s">
        <v>298</v>
      </c>
      <c r="AQ93" s="35" t="s">
        <v>299</v>
      </c>
      <c r="AR93" s="34" t="s">
        <v>298</v>
      </c>
      <c r="AS93" s="35" t="s">
        <v>299</v>
      </c>
      <c r="AT93" s="34" t="s">
        <v>298</v>
      </c>
      <c r="AU93" s="35" t="s">
        <v>299</v>
      </c>
      <c r="AV93" s="34" t="s">
        <v>298</v>
      </c>
      <c r="AW93" s="35" t="s">
        <v>299</v>
      </c>
      <c r="AX93" s="34" t="s">
        <v>298</v>
      </c>
      <c r="AY93" s="35" t="s">
        <v>299</v>
      </c>
      <c r="AZ93" s="34" t="s">
        <v>298</v>
      </c>
      <c r="BA93" s="35" t="s">
        <v>299</v>
      </c>
      <c r="BB93" s="34" t="s">
        <v>298</v>
      </c>
      <c r="BC93" s="35" t="s">
        <v>299</v>
      </c>
      <c r="BD93" s="34" t="s">
        <v>298</v>
      </c>
      <c r="BE93" s="35" t="s">
        <v>299</v>
      </c>
      <c r="BF93" s="34" t="s">
        <v>298</v>
      </c>
      <c r="BG93" s="35" t="s">
        <v>299</v>
      </c>
      <c r="BH93" s="34" t="s">
        <v>298</v>
      </c>
      <c r="BI93" s="35" t="s">
        <v>299</v>
      </c>
      <c r="BJ93" s="34" t="s">
        <v>298</v>
      </c>
      <c r="BK93" s="35" t="s">
        <v>299</v>
      </c>
      <c r="BL93" s="34" t="s">
        <v>298</v>
      </c>
      <c r="BM93" s="35" t="s">
        <v>299</v>
      </c>
    </row>
    <row r="94" spans="1:65" x14ac:dyDescent="0.25">
      <c r="A94" s="24" t="s">
        <v>272</v>
      </c>
      <c r="B94" s="24"/>
      <c r="C94" s="24"/>
      <c r="D94" s="24"/>
      <c r="E94" s="24"/>
      <c r="F94" s="24">
        <v>878560</v>
      </c>
      <c r="G94" s="24">
        <v>890492</v>
      </c>
      <c r="H94" s="24">
        <v>161059</v>
      </c>
      <c r="I94" s="24">
        <v>161250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>
        <v>33099.53</v>
      </c>
      <c r="U94" s="24">
        <v>33973.870000000003</v>
      </c>
      <c r="V94" s="24">
        <v>170866</v>
      </c>
      <c r="W94" s="24">
        <v>172072</v>
      </c>
      <c r="X94" s="24">
        <v>65875</v>
      </c>
      <c r="Y94" s="24">
        <v>79921</v>
      </c>
      <c r="Z94" s="24">
        <v>5805</v>
      </c>
      <c r="AA94" s="24">
        <v>32466</v>
      </c>
      <c r="AB94" s="24"/>
      <c r="AC94" s="24"/>
      <c r="AD94" s="24"/>
      <c r="AE94" s="24"/>
      <c r="AF94" s="24"/>
      <c r="AG94" s="24"/>
      <c r="AH94" s="24"/>
      <c r="AI94" s="24"/>
      <c r="AJ94" s="24">
        <v>897.16</v>
      </c>
      <c r="AK94" s="24">
        <v>2455.11</v>
      </c>
      <c r="AL94" s="24"/>
      <c r="AM94" s="24"/>
      <c r="AN94" s="24"/>
      <c r="AO94" s="24"/>
      <c r="AP94" s="24"/>
      <c r="AQ94" s="24"/>
      <c r="AR94" s="24">
        <v>154320</v>
      </c>
      <c r="AS94" s="24">
        <v>211755</v>
      </c>
      <c r="AT94" s="24"/>
      <c r="AU94" s="24"/>
      <c r="AV94" s="24">
        <v>146591</v>
      </c>
      <c r="AW94" s="24">
        <v>152624</v>
      </c>
      <c r="AX94" s="24"/>
      <c r="AY94" s="24"/>
      <c r="AZ94" s="24"/>
      <c r="BA94" s="24"/>
      <c r="BB94" s="24">
        <v>1</v>
      </c>
      <c r="BC94" s="24">
        <v>222</v>
      </c>
      <c r="BD94" s="24"/>
      <c r="BE94" s="24">
        <v>1366</v>
      </c>
      <c r="BF94" s="24">
        <v>554</v>
      </c>
      <c r="BG94" s="24">
        <v>565</v>
      </c>
      <c r="BH94" s="24">
        <v>21661</v>
      </c>
      <c r="BI94" s="24">
        <v>23313</v>
      </c>
      <c r="BJ94" s="24">
        <v>52537</v>
      </c>
      <c r="BK94" s="24">
        <v>62650</v>
      </c>
      <c r="BL94" s="37">
        <f t="shared" ref="BL94:BM100" si="8">SUM(B94+D94+F94+H94+J94+L94+N94+P94+R94+T94+V94+X94+Z94+AB94+AD94+AF94+AH94+AJ94+AL94+AN94+AP94+AR94+AT94+AV94+AX94+AZ94+BB94+BD94+BF94+BH94+BJ94)</f>
        <v>1691825.69</v>
      </c>
      <c r="BM94" s="37">
        <f t="shared" si="8"/>
        <v>1825124.9800000002</v>
      </c>
    </row>
    <row r="95" spans="1:65" x14ac:dyDescent="0.25">
      <c r="A95" s="24" t="s">
        <v>273</v>
      </c>
      <c r="B95" s="24"/>
      <c r="C95" s="24"/>
      <c r="D95" s="24"/>
      <c r="E95" s="24"/>
      <c r="F95" s="24">
        <v>45</v>
      </c>
      <c r="G95" s="24">
        <v>45</v>
      </c>
      <c r="H95" s="24"/>
      <c r="I95" s="24"/>
      <c r="J95" s="24"/>
      <c r="K95" s="24"/>
      <c r="L95" s="24"/>
      <c r="M95" s="24"/>
      <c r="N95" s="24">
        <v>1481</v>
      </c>
      <c r="O95" s="24">
        <v>2285</v>
      </c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>
        <v>1</v>
      </c>
      <c r="BF95" s="24">
        <v>0</v>
      </c>
      <c r="BG95" s="24">
        <v>0</v>
      </c>
      <c r="BH95" s="24"/>
      <c r="BI95" s="24"/>
      <c r="BJ95" s="24"/>
      <c r="BK95" s="24"/>
      <c r="BL95" s="37">
        <f t="shared" si="8"/>
        <v>1526</v>
      </c>
      <c r="BM95" s="37">
        <f t="shared" si="8"/>
        <v>2331</v>
      </c>
    </row>
    <row r="96" spans="1:65" x14ac:dyDescent="0.25">
      <c r="A96" s="24" t="s">
        <v>274</v>
      </c>
      <c r="B96" s="24"/>
      <c r="C96" s="24"/>
      <c r="D96" s="24"/>
      <c r="E96" s="24"/>
      <c r="F96" s="24">
        <v>477479</v>
      </c>
      <c r="G96" s="24">
        <v>482536</v>
      </c>
      <c r="H96" s="24">
        <v>-130896</v>
      </c>
      <c r="I96" s="24">
        <v>-131051</v>
      </c>
      <c r="J96" s="24"/>
      <c r="K96" s="24"/>
      <c r="L96" s="24"/>
      <c r="M96" s="24"/>
      <c r="N96" s="24">
        <v>449</v>
      </c>
      <c r="O96" s="24">
        <v>449</v>
      </c>
      <c r="P96" s="24"/>
      <c r="Q96" s="24"/>
      <c r="R96" s="24"/>
      <c r="S96" s="24"/>
      <c r="T96" s="24">
        <v>26445.99</v>
      </c>
      <c r="U96" s="24">
        <v>27114.49</v>
      </c>
      <c r="V96" s="24">
        <v>-111524</v>
      </c>
      <c r="W96" s="24">
        <v>-113367</v>
      </c>
      <c r="X96" s="24">
        <v>46333</v>
      </c>
      <c r="Y96" s="24">
        <v>57886</v>
      </c>
      <c r="Z96" s="24">
        <v>4546</v>
      </c>
      <c r="AA96" s="24">
        <v>25582</v>
      </c>
      <c r="AB96" s="24"/>
      <c r="AC96" s="24"/>
      <c r="AD96" s="24"/>
      <c r="AE96" s="24"/>
      <c r="AF96" s="24"/>
      <c r="AG96" s="24"/>
      <c r="AH96" s="24"/>
      <c r="AI96" s="24"/>
      <c r="AJ96" s="24">
        <v>37.04</v>
      </c>
      <c r="AK96" s="24">
        <v>4177.59</v>
      </c>
      <c r="AL96" s="24"/>
      <c r="AM96" s="24"/>
      <c r="AN96" s="24"/>
      <c r="AO96" s="24"/>
      <c r="AP96" s="24"/>
      <c r="AQ96" s="24"/>
      <c r="AR96" s="24">
        <v>86381</v>
      </c>
      <c r="AS96" s="24">
        <v>128651</v>
      </c>
      <c r="AT96" s="24"/>
      <c r="AU96" s="24"/>
      <c r="AV96" s="24">
        <v>115013</v>
      </c>
      <c r="AW96" s="24">
        <v>119964</v>
      </c>
      <c r="AX96" s="24"/>
      <c r="AY96" s="24"/>
      <c r="AZ96" s="24"/>
      <c r="BA96" s="24"/>
      <c r="BB96" s="24">
        <v>0</v>
      </c>
      <c r="BC96" s="24">
        <v>211</v>
      </c>
      <c r="BD96" s="24"/>
      <c r="BE96" s="24">
        <v>666</v>
      </c>
      <c r="BF96" s="24">
        <v>27</v>
      </c>
      <c r="BG96" s="24">
        <v>40</v>
      </c>
      <c r="BH96" s="24">
        <v>866</v>
      </c>
      <c r="BI96" s="24">
        <v>1304</v>
      </c>
      <c r="BJ96" s="24">
        <v>42378</v>
      </c>
      <c r="BK96" s="24">
        <v>50266</v>
      </c>
      <c r="BL96" s="37">
        <f t="shared" si="8"/>
        <v>557535.03</v>
      </c>
      <c r="BM96" s="37">
        <f t="shared" si="8"/>
        <v>654429.08000000007</v>
      </c>
    </row>
    <row r="97" spans="1:65" s="4" customFormat="1" x14ac:dyDescent="0.25">
      <c r="A97" s="26" t="s">
        <v>275</v>
      </c>
      <c r="B97" s="26"/>
      <c r="C97" s="26"/>
      <c r="D97" s="26"/>
      <c r="E97" s="26"/>
      <c r="F97" s="26">
        <v>401127</v>
      </c>
      <c r="G97" s="26">
        <v>408002</v>
      </c>
      <c r="H97" s="26">
        <v>30163</v>
      </c>
      <c r="I97" s="26">
        <v>30199</v>
      </c>
      <c r="J97" s="26"/>
      <c r="K97" s="26"/>
      <c r="L97" s="26"/>
      <c r="M97" s="26"/>
      <c r="N97" s="26">
        <v>1032</v>
      </c>
      <c r="O97" s="26">
        <v>1836</v>
      </c>
      <c r="P97" s="26"/>
      <c r="Q97" s="26"/>
      <c r="R97" s="26"/>
      <c r="S97" s="26"/>
      <c r="T97" s="26">
        <v>6653.54</v>
      </c>
      <c r="U97" s="26">
        <v>6859.38</v>
      </c>
      <c r="V97" s="26">
        <v>59342</v>
      </c>
      <c r="W97" s="26">
        <v>58705</v>
      </c>
      <c r="X97" s="26">
        <v>19542</v>
      </c>
      <c r="Y97" s="26">
        <v>22035</v>
      </c>
      <c r="Z97" s="26">
        <v>1259</v>
      </c>
      <c r="AA97" s="26">
        <v>6884</v>
      </c>
      <c r="AB97" s="26"/>
      <c r="AC97" s="26"/>
      <c r="AD97" s="26"/>
      <c r="AE97" s="26"/>
      <c r="AF97" s="26"/>
      <c r="AG97" s="26"/>
      <c r="AH97" s="26"/>
      <c r="AI97" s="26"/>
      <c r="AJ97" s="26">
        <v>860.12</v>
      </c>
      <c r="AK97" s="26">
        <v>-1722.48</v>
      </c>
      <c r="AL97" s="26"/>
      <c r="AM97" s="26"/>
      <c r="AN97" s="26"/>
      <c r="AO97" s="26"/>
      <c r="AP97" s="26"/>
      <c r="AQ97" s="26"/>
      <c r="AR97" s="26">
        <v>67939</v>
      </c>
      <c r="AS97" s="26">
        <v>83105</v>
      </c>
      <c r="AT97" s="26"/>
      <c r="AU97" s="26"/>
      <c r="AV97" s="26">
        <v>31579</v>
      </c>
      <c r="AW97" s="26">
        <v>32660</v>
      </c>
      <c r="AX97" s="26"/>
      <c r="AY97" s="26"/>
      <c r="AZ97" s="26"/>
      <c r="BA97" s="26"/>
      <c r="BB97" s="26">
        <v>1</v>
      </c>
      <c r="BC97" s="26">
        <v>11</v>
      </c>
      <c r="BD97" s="26"/>
      <c r="BE97" s="26">
        <v>701</v>
      </c>
      <c r="BF97" s="26">
        <v>528</v>
      </c>
      <c r="BG97" s="26">
        <v>525</v>
      </c>
      <c r="BH97" s="26">
        <v>20794</v>
      </c>
      <c r="BI97" s="26">
        <v>22010</v>
      </c>
      <c r="BJ97" s="26">
        <v>10159</v>
      </c>
      <c r="BK97" s="26">
        <v>12384</v>
      </c>
      <c r="BL97" s="39">
        <f t="shared" si="8"/>
        <v>650978.65999999992</v>
      </c>
      <c r="BM97" s="39">
        <f t="shared" si="8"/>
        <v>684193.9</v>
      </c>
    </row>
    <row r="98" spans="1:65" x14ac:dyDescent="0.25">
      <c r="A98" s="24" t="s">
        <v>276</v>
      </c>
      <c r="B98" s="24"/>
      <c r="C98" s="24"/>
      <c r="D98" s="24"/>
      <c r="E98" s="24"/>
      <c r="F98" s="24">
        <v>2187</v>
      </c>
      <c r="G98" s="24">
        <v>65517</v>
      </c>
      <c r="H98" s="24">
        <v>50</v>
      </c>
      <c r="I98" s="24">
        <v>1455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>
        <v>3.99</v>
      </c>
      <c r="U98" s="24">
        <v>994</v>
      </c>
      <c r="V98" s="24">
        <v>-228</v>
      </c>
      <c r="W98" s="24">
        <v>3407</v>
      </c>
      <c r="X98" s="24">
        <v>1690</v>
      </c>
      <c r="Y98" s="24"/>
      <c r="Z98" s="24"/>
      <c r="AA98" s="24">
        <v>1228</v>
      </c>
      <c r="AB98" s="24"/>
      <c r="AC98" s="24"/>
      <c r="AD98" s="24"/>
      <c r="AE98" s="24"/>
      <c r="AF98" s="24"/>
      <c r="AG98" s="24"/>
      <c r="AH98" s="24"/>
      <c r="AI98" s="24"/>
      <c r="AJ98" s="24"/>
      <c r="AK98" s="24">
        <v>2360.39</v>
      </c>
      <c r="AL98" s="24"/>
      <c r="AM98" s="24"/>
      <c r="AN98" s="24"/>
      <c r="AO98" s="24"/>
      <c r="AP98" s="24"/>
      <c r="AQ98" s="24"/>
      <c r="AR98" s="24">
        <v>34</v>
      </c>
      <c r="AS98" s="24"/>
      <c r="AT98" s="24"/>
      <c r="AU98" s="24"/>
      <c r="AV98" s="24">
        <v>621</v>
      </c>
      <c r="AW98" s="24">
        <v>4881</v>
      </c>
      <c r="AX98" s="24"/>
      <c r="AY98" s="24"/>
      <c r="AZ98" s="24"/>
      <c r="BA98" s="24"/>
      <c r="BB98" s="24">
        <v>17</v>
      </c>
      <c r="BC98" s="24">
        <v>12</v>
      </c>
      <c r="BD98" s="24"/>
      <c r="BE98" s="24">
        <v>0</v>
      </c>
      <c r="BF98" s="24">
        <v>0</v>
      </c>
      <c r="BG98" s="24">
        <v>0</v>
      </c>
      <c r="BH98" s="24"/>
      <c r="BI98" s="24"/>
      <c r="BJ98" s="24">
        <v>0</v>
      </c>
      <c r="BK98" s="24">
        <v>1175</v>
      </c>
      <c r="BL98" s="37">
        <f t="shared" si="8"/>
        <v>4374.99</v>
      </c>
      <c r="BM98" s="37">
        <f t="shared" si="8"/>
        <v>81029.39</v>
      </c>
    </row>
    <row r="99" spans="1:65" x14ac:dyDescent="0.25">
      <c r="A99" s="36" t="s">
        <v>277</v>
      </c>
      <c r="B99" s="24"/>
      <c r="C99" s="24"/>
      <c r="D99" s="24"/>
      <c r="E99" s="24"/>
      <c r="F99" s="24">
        <v>59459</v>
      </c>
      <c r="G99" s="24">
        <v>59459</v>
      </c>
      <c r="H99" s="24">
        <v>11105</v>
      </c>
      <c r="I99" s="24">
        <v>11105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>
        <v>2704.37</v>
      </c>
      <c r="U99" s="24">
        <v>2704.37</v>
      </c>
      <c r="V99" s="24">
        <v>-21639</v>
      </c>
      <c r="W99" s="24">
        <v>-21639</v>
      </c>
      <c r="X99" s="24">
        <v>3285</v>
      </c>
      <c r="Y99" s="24">
        <v>3285</v>
      </c>
      <c r="Z99" s="24">
        <v>563</v>
      </c>
      <c r="AA99" s="24">
        <v>616</v>
      </c>
      <c r="AB99" s="24"/>
      <c r="AC99" s="24"/>
      <c r="AD99" s="24"/>
      <c r="AE99" s="24"/>
      <c r="AF99" s="24"/>
      <c r="AG99" s="24"/>
      <c r="AH99" s="24"/>
      <c r="AI99" s="24"/>
      <c r="AJ99" s="24">
        <v>-647.25</v>
      </c>
      <c r="AK99" s="24">
        <v>2185.5100000000002</v>
      </c>
      <c r="AL99" s="24"/>
      <c r="AM99" s="24"/>
      <c r="AN99" s="24"/>
      <c r="AO99" s="24"/>
      <c r="AP99" s="24"/>
      <c r="AQ99" s="24"/>
      <c r="AR99" s="24">
        <v>23846</v>
      </c>
      <c r="AS99" s="24">
        <v>23846</v>
      </c>
      <c r="AT99" s="24"/>
      <c r="AU99" s="24"/>
      <c r="AV99" s="24">
        <v>19471</v>
      </c>
      <c r="AW99" s="24">
        <v>19471</v>
      </c>
      <c r="AX99" s="24"/>
      <c r="AY99" s="24"/>
      <c r="AZ99" s="24"/>
      <c r="BA99" s="24"/>
      <c r="BB99" s="24">
        <v>8</v>
      </c>
      <c r="BC99" s="24">
        <v>8</v>
      </c>
      <c r="BD99" s="24"/>
      <c r="BE99" s="24">
        <v>0</v>
      </c>
      <c r="BF99" s="24">
        <v>-130</v>
      </c>
      <c r="BG99" s="24">
        <v>-8908</v>
      </c>
      <c r="BH99" s="24"/>
      <c r="BI99" s="24"/>
      <c r="BJ99" s="24">
        <v>-5487</v>
      </c>
      <c r="BK99" s="24">
        <v>-5487</v>
      </c>
      <c r="BL99" s="37">
        <f t="shared" si="8"/>
        <v>92538.12</v>
      </c>
      <c r="BM99" s="37">
        <f t="shared" si="8"/>
        <v>86645.88</v>
      </c>
    </row>
    <row r="100" spans="1:65" s="4" customFormat="1" x14ac:dyDescent="0.25">
      <c r="A100" s="26" t="s">
        <v>192</v>
      </c>
      <c r="B100" s="26"/>
      <c r="C100" s="26"/>
      <c r="D100" s="26"/>
      <c r="E100" s="26"/>
      <c r="F100" s="26">
        <v>343855</v>
      </c>
      <c r="G100" s="26">
        <v>414059</v>
      </c>
      <c r="H100" s="26">
        <v>19108</v>
      </c>
      <c r="I100" s="26">
        <v>20549</v>
      </c>
      <c r="J100" s="26"/>
      <c r="K100" s="26"/>
      <c r="L100" s="26"/>
      <c r="M100" s="26"/>
      <c r="N100" s="26">
        <v>1032</v>
      </c>
      <c r="O100" s="26">
        <v>1836</v>
      </c>
      <c r="P100" s="26"/>
      <c r="Q100" s="26"/>
      <c r="R100" s="26"/>
      <c r="S100" s="26"/>
      <c r="T100" s="26">
        <v>3953.15</v>
      </c>
      <c r="U100" s="26">
        <v>5149.01</v>
      </c>
      <c r="V100" s="26">
        <v>37475</v>
      </c>
      <c r="W100" s="26">
        <v>40473</v>
      </c>
      <c r="X100" s="26">
        <v>17947</v>
      </c>
      <c r="Y100" s="26">
        <v>18750</v>
      </c>
      <c r="Z100" s="26">
        <v>696</v>
      </c>
      <c r="AA100" s="26">
        <v>7496</v>
      </c>
      <c r="AB100" s="26"/>
      <c r="AC100" s="26"/>
      <c r="AD100" s="26"/>
      <c r="AE100" s="26"/>
      <c r="AF100" s="26"/>
      <c r="AG100" s="26"/>
      <c r="AH100" s="26"/>
      <c r="AI100" s="26"/>
      <c r="AJ100" s="26">
        <v>1507.37</v>
      </c>
      <c r="AK100" s="26">
        <v>-1547.6</v>
      </c>
      <c r="AL100" s="26"/>
      <c r="AM100" s="26"/>
      <c r="AN100" s="26"/>
      <c r="AO100" s="26"/>
      <c r="AP100" s="26"/>
      <c r="AQ100" s="26"/>
      <c r="AR100" s="26">
        <v>44127</v>
      </c>
      <c r="AS100" s="26">
        <v>59259</v>
      </c>
      <c r="AT100" s="26"/>
      <c r="AU100" s="26"/>
      <c r="AV100" s="26">
        <v>12729</v>
      </c>
      <c r="AW100" s="26">
        <v>18070</v>
      </c>
      <c r="AX100" s="26"/>
      <c r="AY100" s="26"/>
      <c r="AZ100" s="26"/>
      <c r="BA100" s="26"/>
      <c r="BB100" s="26">
        <v>9</v>
      </c>
      <c r="BC100" s="26">
        <v>15</v>
      </c>
      <c r="BD100" s="26"/>
      <c r="BE100" s="26">
        <v>701</v>
      </c>
      <c r="BF100" s="26">
        <v>657</v>
      </c>
      <c r="BG100" s="26">
        <v>9433</v>
      </c>
      <c r="BH100" s="26">
        <v>10753</v>
      </c>
      <c r="BI100" s="26">
        <v>11295</v>
      </c>
      <c r="BJ100" s="26">
        <v>4672</v>
      </c>
      <c r="BK100" s="26">
        <v>8072</v>
      </c>
      <c r="BL100" s="39">
        <f t="shared" si="8"/>
        <v>498520.52</v>
      </c>
      <c r="BM100" s="39">
        <f t="shared" si="8"/>
        <v>613609.41</v>
      </c>
    </row>
    <row r="102" spans="1:65" x14ac:dyDescent="0.25">
      <c r="A102" s="7" t="s">
        <v>189</v>
      </c>
    </row>
    <row r="103" spans="1:65" x14ac:dyDescent="0.25">
      <c r="A103" s="42" t="s">
        <v>0</v>
      </c>
      <c r="B103" s="94" t="s">
        <v>1</v>
      </c>
      <c r="C103" s="95"/>
      <c r="D103" s="94" t="s">
        <v>232</v>
      </c>
      <c r="E103" s="95"/>
      <c r="F103" s="94" t="s">
        <v>2</v>
      </c>
      <c r="G103" s="95"/>
      <c r="H103" s="94" t="s">
        <v>3</v>
      </c>
      <c r="I103" s="95"/>
      <c r="J103" s="94" t="s">
        <v>241</v>
      </c>
      <c r="K103" s="95"/>
      <c r="L103" s="94" t="s">
        <v>233</v>
      </c>
      <c r="M103" s="95"/>
      <c r="N103" s="94" t="s">
        <v>246</v>
      </c>
      <c r="O103" s="95"/>
      <c r="P103" s="94" t="s">
        <v>5</v>
      </c>
      <c r="Q103" s="95"/>
      <c r="R103" s="94" t="s">
        <v>4</v>
      </c>
      <c r="S103" s="95"/>
      <c r="T103" s="94" t="s">
        <v>6</v>
      </c>
      <c r="U103" s="95"/>
      <c r="V103" s="94" t="s">
        <v>7</v>
      </c>
      <c r="W103" s="95"/>
      <c r="X103" s="94" t="s">
        <v>8</v>
      </c>
      <c r="Y103" s="95"/>
      <c r="Z103" s="94" t="s">
        <v>9</v>
      </c>
      <c r="AA103" s="95"/>
      <c r="AB103" s="94" t="s">
        <v>240</v>
      </c>
      <c r="AC103" s="95"/>
      <c r="AD103" s="94" t="s">
        <v>10</v>
      </c>
      <c r="AE103" s="95"/>
      <c r="AF103" s="94" t="s">
        <v>11</v>
      </c>
      <c r="AG103" s="95"/>
      <c r="AH103" s="94" t="s">
        <v>234</v>
      </c>
      <c r="AI103" s="95"/>
      <c r="AJ103" s="94" t="s">
        <v>12</v>
      </c>
      <c r="AK103" s="95"/>
      <c r="AL103" s="94" t="s">
        <v>235</v>
      </c>
      <c r="AM103" s="95"/>
      <c r="AN103" s="94" t="s">
        <v>300</v>
      </c>
      <c r="AO103" s="95"/>
      <c r="AP103" s="94" t="s">
        <v>236</v>
      </c>
      <c r="AQ103" s="95"/>
      <c r="AR103" s="94" t="s">
        <v>239</v>
      </c>
      <c r="AS103" s="95"/>
      <c r="AT103" s="94" t="s">
        <v>13</v>
      </c>
      <c r="AU103" s="95"/>
      <c r="AV103" s="94" t="s">
        <v>14</v>
      </c>
      <c r="AW103" s="95"/>
      <c r="AX103" s="94" t="s">
        <v>15</v>
      </c>
      <c r="AY103" s="95"/>
      <c r="AZ103" s="94" t="s">
        <v>16</v>
      </c>
      <c r="BA103" s="95"/>
      <c r="BB103" s="94" t="s">
        <v>17</v>
      </c>
      <c r="BC103" s="95"/>
      <c r="BD103" s="94" t="s">
        <v>237</v>
      </c>
      <c r="BE103" s="95"/>
      <c r="BF103" s="94" t="s">
        <v>238</v>
      </c>
      <c r="BG103" s="95"/>
      <c r="BH103" s="94" t="s">
        <v>18</v>
      </c>
      <c r="BI103" s="95"/>
      <c r="BJ103" s="94" t="s">
        <v>19</v>
      </c>
      <c r="BK103" s="95"/>
      <c r="BL103" s="96" t="s">
        <v>20</v>
      </c>
      <c r="BM103" s="97"/>
    </row>
    <row r="104" spans="1:65" ht="30" x14ac:dyDescent="0.25">
      <c r="A104" s="42"/>
      <c r="B104" s="34" t="s">
        <v>298</v>
      </c>
      <c r="C104" s="35" t="s">
        <v>299</v>
      </c>
      <c r="D104" s="34" t="s">
        <v>298</v>
      </c>
      <c r="E104" s="35" t="s">
        <v>299</v>
      </c>
      <c r="F104" s="34" t="s">
        <v>298</v>
      </c>
      <c r="G104" s="35" t="s">
        <v>299</v>
      </c>
      <c r="H104" s="34" t="s">
        <v>298</v>
      </c>
      <c r="I104" s="35" t="s">
        <v>299</v>
      </c>
      <c r="J104" s="34" t="s">
        <v>298</v>
      </c>
      <c r="K104" s="35" t="s">
        <v>299</v>
      </c>
      <c r="L104" s="34" t="s">
        <v>298</v>
      </c>
      <c r="M104" s="35" t="s">
        <v>299</v>
      </c>
      <c r="N104" s="34" t="s">
        <v>298</v>
      </c>
      <c r="O104" s="35" t="s">
        <v>299</v>
      </c>
      <c r="P104" s="34" t="s">
        <v>298</v>
      </c>
      <c r="Q104" s="35" t="s">
        <v>299</v>
      </c>
      <c r="R104" s="34" t="s">
        <v>298</v>
      </c>
      <c r="S104" s="35" t="s">
        <v>299</v>
      </c>
      <c r="T104" s="34" t="s">
        <v>298</v>
      </c>
      <c r="U104" s="35" t="s">
        <v>299</v>
      </c>
      <c r="V104" s="34" t="s">
        <v>298</v>
      </c>
      <c r="W104" s="35" t="s">
        <v>299</v>
      </c>
      <c r="X104" s="34" t="s">
        <v>298</v>
      </c>
      <c r="Y104" s="35" t="s">
        <v>299</v>
      </c>
      <c r="Z104" s="34" t="s">
        <v>298</v>
      </c>
      <c r="AA104" s="35" t="s">
        <v>299</v>
      </c>
      <c r="AB104" s="34" t="s">
        <v>298</v>
      </c>
      <c r="AC104" s="35" t="s">
        <v>299</v>
      </c>
      <c r="AD104" s="34" t="s">
        <v>298</v>
      </c>
      <c r="AE104" s="35" t="s">
        <v>299</v>
      </c>
      <c r="AF104" s="34" t="s">
        <v>298</v>
      </c>
      <c r="AG104" s="35" t="s">
        <v>299</v>
      </c>
      <c r="AH104" s="34" t="s">
        <v>298</v>
      </c>
      <c r="AI104" s="35" t="s">
        <v>299</v>
      </c>
      <c r="AJ104" s="34" t="s">
        <v>298</v>
      </c>
      <c r="AK104" s="35" t="s">
        <v>299</v>
      </c>
      <c r="AL104" s="34" t="s">
        <v>298</v>
      </c>
      <c r="AM104" s="35" t="s">
        <v>299</v>
      </c>
      <c r="AN104" s="34" t="s">
        <v>298</v>
      </c>
      <c r="AO104" s="35" t="s">
        <v>299</v>
      </c>
      <c r="AP104" s="34" t="s">
        <v>298</v>
      </c>
      <c r="AQ104" s="35" t="s">
        <v>299</v>
      </c>
      <c r="AR104" s="34" t="s">
        <v>298</v>
      </c>
      <c r="AS104" s="35" t="s">
        <v>299</v>
      </c>
      <c r="AT104" s="34" t="s">
        <v>298</v>
      </c>
      <c r="AU104" s="35" t="s">
        <v>299</v>
      </c>
      <c r="AV104" s="34" t="s">
        <v>298</v>
      </c>
      <c r="AW104" s="35" t="s">
        <v>299</v>
      </c>
      <c r="AX104" s="34" t="s">
        <v>298</v>
      </c>
      <c r="AY104" s="35" t="s">
        <v>299</v>
      </c>
      <c r="AZ104" s="34" t="s">
        <v>298</v>
      </c>
      <c r="BA104" s="35" t="s">
        <v>299</v>
      </c>
      <c r="BB104" s="34" t="s">
        <v>298</v>
      </c>
      <c r="BC104" s="35" t="s">
        <v>299</v>
      </c>
      <c r="BD104" s="34" t="s">
        <v>298</v>
      </c>
      <c r="BE104" s="35" t="s">
        <v>299</v>
      </c>
      <c r="BF104" s="34" t="s">
        <v>298</v>
      </c>
      <c r="BG104" s="35" t="s">
        <v>299</v>
      </c>
      <c r="BH104" s="34" t="s">
        <v>298</v>
      </c>
      <c r="BI104" s="35" t="s">
        <v>299</v>
      </c>
      <c r="BJ104" s="34" t="s">
        <v>298</v>
      </c>
      <c r="BK104" s="35" t="s">
        <v>299</v>
      </c>
      <c r="BL104" s="34" t="s">
        <v>298</v>
      </c>
      <c r="BM104" s="35" t="s">
        <v>299</v>
      </c>
    </row>
    <row r="105" spans="1:65" x14ac:dyDescent="0.25">
      <c r="A105" s="24" t="s">
        <v>272</v>
      </c>
      <c r="B105" s="24">
        <f>B116-B94-B83-B72-B61-B50-B39-B28-B17-B6</f>
        <v>1463</v>
      </c>
      <c r="C105" s="24">
        <f t="shared" ref="C105:BK109" si="9">C116-C94-C83-C72-C61-C50-C39-C28-C17-C6</f>
        <v>2724</v>
      </c>
      <c r="D105" s="24">
        <f t="shared" si="9"/>
        <v>1845</v>
      </c>
      <c r="E105" s="24">
        <f t="shared" si="9"/>
        <v>3712</v>
      </c>
      <c r="F105" s="24">
        <f t="shared" si="9"/>
        <v>0</v>
      </c>
      <c r="G105" s="24">
        <f t="shared" si="9"/>
        <v>0</v>
      </c>
      <c r="H105" s="24">
        <f t="shared" si="9"/>
        <v>28075</v>
      </c>
      <c r="I105" s="24">
        <f t="shared" si="9"/>
        <v>63170</v>
      </c>
      <c r="J105" s="24">
        <f t="shared" si="9"/>
        <v>3531</v>
      </c>
      <c r="K105" s="24">
        <f t="shared" si="9"/>
        <v>7714</v>
      </c>
      <c r="L105" s="24">
        <f t="shared" si="9"/>
        <v>2420</v>
      </c>
      <c r="M105" s="24">
        <f t="shared" si="9"/>
        <v>4450</v>
      </c>
      <c r="N105" s="24">
        <f t="shared" si="9"/>
        <v>21528</v>
      </c>
      <c r="O105" s="24">
        <f t="shared" si="9"/>
        <v>60144</v>
      </c>
      <c r="P105" s="24">
        <f t="shared" si="9"/>
        <v>27919.75</v>
      </c>
      <c r="Q105" s="24">
        <f t="shared" si="9"/>
        <v>53286.59</v>
      </c>
      <c r="R105" s="24">
        <f t="shared" si="9"/>
        <v>1042.4899999999998</v>
      </c>
      <c r="S105" s="24">
        <f t="shared" si="9"/>
        <v>1443.7700000000007</v>
      </c>
      <c r="T105" s="24">
        <f t="shared" si="9"/>
        <v>8354.0100000000075</v>
      </c>
      <c r="U105" s="24">
        <f t="shared" si="9"/>
        <v>16101.15000000002</v>
      </c>
      <c r="V105" s="24">
        <f t="shared" si="9"/>
        <v>23071</v>
      </c>
      <c r="W105" s="24">
        <f t="shared" si="9"/>
        <v>44145</v>
      </c>
      <c r="X105" s="24">
        <f t="shared" si="9"/>
        <v>35675</v>
      </c>
      <c r="Y105" s="24">
        <f t="shared" si="9"/>
        <v>73480</v>
      </c>
      <c r="Z105" s="24">
        <f t="shared" si="9"/>
        <v>16875</v>
      </c>
      <c r="AA105" s="24">
        <f t="shared" si="9"/>
        <v>34600</v>
      </c>
      <c r="AB105" s="24">
        <f t="shared" si="9"/>
        <v>921</v>
      </c>
      <c r="AC105" s="24">
        <f t="shared" si="9"/>
        <v>1694</v>
      </c>
      <c r="AD105" s="24">
        <f t="shared" si="9"/>
        <v>1988</v>
      </c>
      <c r="AE105" s="24">
        <f t="shared" si="9"/>
        <v>4961</v>
      </c>
      <c r="AF105" s="24">
        <f t="shared" si="9"/>
        <v>1852</v>
      </c>
      <c r="AG105" s="24">
        <f t="shared" si="9"/>
        <v>2294</v>
      </c>
      <c r="AH105" s="24">
        <f t="shared" si="9"/>
        <v>36.829999999998108</v>
      </c>
      <c r="AI105" s="24">
        <f t="shared" si="9"/>
        <v>70.180000000000291</v>
      </c>
      <c r="AJ105" s="24">
        <f t="shared" si="9"/>
        <v>11766.460000000014</v>
      </c>
      <c r="AK105" s="24">
        <f t="shared" si="9"/>
        <v>23511.440000000133</v>
      </c>
      <c r="AL105" s="24">
        <f t="shared" si="9"/>
        <v>0</v>
      </c>
      <c r="AM105" s="24">
        <f t="shared" si="9"/>
        <v>0</v>
      </c>
      <c r="AN105" s="24">
        <f t="shared" si="9"/>
        <v>151</v>
      </c>
      <c r="AO105" s="24">
        <f t="shared" si="9"/>
        <v>252</v>
      </c>
      <c r="AP105" s="24">
        <f t="shared" si="9"/>
        <v>66</v>
      </c>
      <c r="AQ105" s="24">
        <f t="shared" si="9"/>
        <v>137</v>
      </c>
      <c r="AR105" s="24">
        <f t="shared" si="9"/>
        <v>5176</v>
      </c>
      <c r="AS105" s="24">
        <f t="shared" si="9"/>
        <v>11380</v>
      </c>
      <c r="AT105" s="24">
        <f t="shared" si="9"/>
        <v>460</v>
      </c>
      <c r="AU105" s="24">
        <f t="shared" si="9"/>
        <v>1110</v>
      </c>
      <c r="AV105" s="24">
        <f t="shared" si="9"/>
        <v>4088</v>
      </c>
      <c r="AW105" s="24">
        <f t="shared" si="9"/>
        <v>8324</v>
      </c>
      <c r="AX105" s="24">
        <f t="shared" si="9"/>
        <v>442</v>
      </c>
      <c r="AY105" s="24">
        <f t="shared" si="9"/>
        <v>888</v>
      </c>
      <c r="AZ105" s="24">
        <f t="shared" si="9"/>
        <v>46</v>
      </c>
      <c r="BA105" s="24">
        <f t="shared" si="9"/>
        <v>88</v>
      </c>
      <c r="BB105" s="24">
        <f t="shared" si="9"/>
        <v>15697</v>
      </c>
      <c r="BC105" s="24">
        <f t="shared" si="9"/>
        <v>35543</v>
      </c>
      <c r="BD105" s="24">
        <f t="shared" si="9"/>
        <v>851059</v>
      </c>
      <c r="BE105" s="24">
        <f t="shared" si="9"/>
        <v>99145</v>
      </c>
      <c r="BF105" s="24">
        <f t="shared" si="9"/>
        <v>12962</v>
      </c>
      <c r="BG105" s="24">
        <f t="shared" si="9"/>
        <v>27521</v>
      </c>
      <c r="BH105" s="24">
        <f t="shared" si="9"/>
        <v>10401</v>
      </c>
      <c r="BI105" s="24">
        <f t="shared" si="9"/>
        <v>24922</v>
      </c>
      <c r="BJ105" s="24">
        <f t="shared" si="9"/>
        <v>934</v>
      </c>
      <c r="BK105" s="24">
        <f t="shared" si="9"/>
        <v>2359</v>
      </c>
      <c r="BL105" s="37">
        <f t="shared" ref="BL105:BM111" si="10">SUM(B105+D105+F105+H105+J105+L105+N105+P105+R105+T105+V105+X105+Z105+AB105+AD105+AF105+AH105+AJ105+AL105+AN105+AP105+AR105+AT105+AV105+AX105+AZ105+BB105+BD105+BF105+BH105+BJ105)</f>
        <v>1089845.54</v>
      </c>
      <c r="BM105" s="37">
        <f t="shared" si="10"/>
        <v>609170.13000000012</v>
      </c>
    </row>
    <row r="106" spans="1:65" x14ac:dyDescent="0.25">
      <c r="A106" s="24" t="s">
        <v>273</v>
      </c>
      <c r="B106" s="24">
        <f>B117-B95-B84-B73-B62-B51-B40-B29-B18-B7</f>
        <v>0</v>
      </c>
      <c r="C106" s="24">
        <f t="shared" si="9"/>
        <v>0</v>
      </c>
      <c r="D106" s="24">
        <f t="shared" si="9"/>
        <v>0</v>
      </c>
      <c r="E106" s="24">
        <f t="shared" si="9"/>
        <v>0</v>
      </c>
      <c r="F106" s="24">
        <f t="shared" si="9"/>
        <v>0</v>
      </c>
      <c r="G106" s="24">
        <f t="shared" si="9"/>
        <v>0</v>
      </c>
      <c r="H106" s="24">
        <f t="shared" si="9"/>
        <v>-9</v>
      </c>
      <c r="I106" s="24">
        <f t="shared" si="9"/>
        <v>-9</v>
      </c>
      <c r="J106" s="24">
        <f t="shared" si="9"/>
        <v>0</v>
      </c>
      <c r="K106" s="24">
        <f t="shared" si="9"/>
        <v>0</v>
      </c>
      <c r="L106" s="24">
        <f t="shared" si="9"/>
        <v>1</v>
      </c>
      <c r="M106" s="24">
        <f t="shared" si="9"/>
        <v>0</v>
      </c>
      <c r="N106" s="24">
        <f t="shared" si="9"/>
        <v>883</v>
      </c>
      <c r="O106" s="24">
        <f t="shared" si="9"/>
        <v>5878</v>
      </c>
      <c r="P106" s="24">
        <f t="shared" si="9"/>
        <v>0</v>
      </c>
      <c r="Q106" s="24">
        <f t="shared" si="9"/>
        <v>0</v>
      </c>
      <c r="R106" s="24">
        <f t="shared" si="9"/>
        <v>0</v>
      </c>
      <c r="S106" s="24">
        <f t="shared" si="9"/>
        <v>0</v>
      </c>
      <c r="T106" s="24">
        <f t="shared" si="9"/>
        <v>0</v>
      </c>
      <c r="U106" s="24">
        <f t="shared" si="9"/>
        <v>1.0000000001127773E-2</v>
      </c>
      <c r="V106" s="24">
        <f t="shared" si="9"/>
        <v>616</v>
      </c>
      <c r="W106" s="24">
        <f t="shared" si="9"/>
        <v>1394</v>
      </c>
      <c r="X106" s="24">
        <f t="shared" si="9"/>
        <v>154</v>
      </c>
      <c r="Y106" s="24">
        <f t="shared" si="9"/>
        <v>1614</v>
      </c>
      <c r="Z106" s="24">
        <f t="shared" si="9"/>
        <v>0</v>
      </c>
      <c r="AA106" s="24">
        <f t="shared" si="9"/>
        <v>7</v>
      </c>
      <c r="AB106" s="24">
        <f t="shared" si="9"/>
        <v>-5</v>
      </c>
      <c r="AC106" s="24">
        <f t="shared" si="9"/>
        <v>32</v>
      </c>
      <c r="AD106" s="24">
        <f t="shared" si="9"/>
        <v>-1</v>
      </c>
      <c r="AE106" s="24">
        <f t="shared" si="9"/>
        <v>0</v>
      </c>
      <c r="AF106" s="24">
        <f t="shared" si="9"/>
        <v>2</v>
      </c>
      <c r="AG106" s="24">
        <f t="shared" si="9"/>
        <v>24</v>
      </c>
      <c r="AH106" s="24">
        <f t="shared" si="9"/>
        <v>0</v>
      </c>
      <c r="AI106" s="24">
        <f t="shared" si="9"/>
        <v>0</v>
      </c>
      <c r="AJ106" s="24">
        <f t="shared" si="9"/>
        <v>130.96999999999935</v>
      </c>
      <c r="AK106" s="24">
        <f t="shared" si="9"/>
        <v>143.51000000000022</v>
      </c>
      <c r="AL106" s="24">
        <f t="shared" si="9"/>
        <v>0</v>
      </c>
      <c r="AM106" s="24">
        <f t="shared" si="9"/>
        <v>0</v>
      </c>
      <c r="AN106" s="24">
        <f t="shared" si="9"/>
        <v>0</v>
      </c>
      <c r="AO106" s="24">
        <f t="shared" si="9"/>
        <v>0</v>
      </c>
      <c r="AP106" s="24">
        <f t="shared" si="9"/>
        <v>-1</v>
      </c>
      <c r="AQ106" s="24">
        <f t="shared" si="9"/>
        <v>0</v>
      </c>
      <c r="AR106" s="24">
        <f t="shared" si="9"/>
        <v>0</v>
      </c>
      <c r="AS106" s="24">
        <f t="shared" si="9"/>
        <v>29</v>
      </c>
      <c r="AT106" s="24">
        <f t="shared" si="9"/>
        <v>3</v>
      </c>
      <c r="AU106" s="24">
        <f t="shared" si="9"/>
        <v>1</v>
      </c>
      <c r="AV106" s="24">
        <f t="shared" si="9"/>
        <v>1</v>
      </c>
      <c r="AW106" s="24">
        <f t="shared" si="9"/>
        <v>1</v>
      </c>
      <c r="AX106" s="24">
        <f t="shared" si="9"/>
        <v>0</v>
      </c>
      <c r="AY106" s="24">
        <f t="shared" si="9"/>
        <v>23</v>
      </c>
      <c r="AZ106" s="24">
        <f t="shared" si="9"/>
        <v>0</v>
      </c>
      <c r="BA106" s="24">
        <f t="shared" si="9"/>
        <v>0</v>
      </c>
      <c r="BB106" s="24">
        <f t="shared" si="9"/>
        <v>56</v>
      </c>
      <c r="BC106" s="24">
        <f t="shared" si="9"/>
        <v>56</v>
      </c>
      <c r="BD106" s="24">
        <f t="shared" si="9"/>
        <v>33782</v>
      </c>
      <c r="BE106" s="24">
        <f t="shared" si="9"/>
        <v>184</v>
      </c>
      <c r="BF106" s="24">
        <f t="shared" si="9"/>
        <v>88</v>
      </c>
      <c r="BG106" s="24">
        <f t="shared" si="9"/>
        <v>143</v>
      </c>
      <c r="BH106" s="24">
        <f t="shared" si="9"/>
        <v>0</v>
      </c>
      <c r="BI106" s="24">
        <f t="shared" si="9"/>
        <v>-44</v>
      </c>
      <c r="BJ106" s="24">
        <f t="shared" si="9"/>
        <v>19</v>
      </c>
      <c r="BK106" s="24">
        <f t="shared" si="9"/>
        <v>19</v>
      </c>
      <c r="BL106" s="37">
        <f t="shared" si="10"/>
        <v>35719.97</v>
      </c>
      <c r="BM106" s="37">
        <f t="shared" si="10"/>
        <v>9495.5200000000023</v>
      </c>
    </row>
    <row r="107" spans="1:65" x14ac:dyDescent="0.25">
      <c r="A107" s="24" t="s">
        <v>274</v>
      </c>
      <c r="B107" s="24">
        <f t="shared" ref="B107:Q111" si="11">B118-B96-B85-B74-B63-B52-B41-B30-B19-B8</f>
        <v>366</v>
      </c>
      <c r="C107" s="24">
        <f t="shared" si="11"/>
        <v>646</v>
      </c>
      <c r="D107" s="24">
        <f t="shared" si="11"/>
        <v>74</v>
      </c>
      <c r="E107" s="24">
        <f t="shared" si="11"/>
        <v>148</v>
      </c>
      <c r="F107" s="24">
        <f t="shared" si="11"/>
        <v>0</v>
      </c>
      <c r="G107" s="24">
        <f t="shared" si="11"/>
        <v>0</v>
      </c>
      <c r="H107" s="24">
        <f t="shared" si="11"/>
        <v>-17109</v>
      </c>
      <c r="I107" s="24">
        <f t="shared" si="11"/>
        <v>-40698</v>
      </c>
      <c r="J107" s="24">
        <f t="shared" si="11"/>
        <v>150</v>
      </c>
      <c r="K107" s="24">
        <f t="shared" si="11"/>
        <v>446</v>
      </c>
      <c r="L107" s="24">
        <f t="shared" si="11"/>
        <v>19</v>
      </c>
      <c r="M107" s="24">
        <f t="shared" si="11"/>
        <v>304</v>
      </c>
      <c r="N107" s="24">
        <f t="shared" si="11"/>
        <v>11293</v>
      </c>
      <c r="O107" s="24">
        <f t="shared" si="11"/>
        <v>33485</v>
      </c>
      <c r="P107" s="24">
        <f t="shared" si="11"/>
        <v>5336.44</v>
      </c>
      <c r="Q107" s="24">
        <f t="shared" si="11"/>
        <v>9997.52</v>
      </c>
      <c r="R107" s="24">
        <f t="shared" si="9"/>
        <v>163.32999999999987</v>
      </c>
      <c r="S107" s="24">
        <f t="shared" si="9"/>
        <v>222.96999999999912</v>
      </c>
      <c r="T107" s="24">
        <f t="shared" si="9"/>
        <v>3259.779999999997</v>
      </c>
      <c r="U107" s="24">
        <f t="shared" si="9"/>
        <v>5975.4699999999866</v>
      </c>
      <c r="V107" s="24">
        <f t="shared" si="9"/>
        <v>-13867</v>
      </c>
      <c r="W107" s="24">
        <f t="shared" si="9"/>
        <v>-29216</v>
      </c>
      <c r="X107" s="24">
        <f t="shared" si="9"/>
        <v>13766</v>
      </c>
      <c r="Y107" s="24">
        <f t="shared" si="9"/>
        <v>30409</v>
      </c>
      <c r="Z107" s="24">
        <f t="shared" si="9"/>
        <v>6643</v>
      </c>
      <c r="AA107" s="24">
        <f t="shared" si="9"/>
        <v>13519</v>
      </c>
      <c r="AB107" s="24">
        <f t="shared" si="9"/>
        <v>427</v>
      </c>
      <c r="AC107" s="24">
        <f t="shared" si="9"/>
        <v>907</v>
      </c>
      <c r="AD107" s="24">
        <f t="shared" si="9"/>
        <v>709</v>
      </c>
      <c r="AE107" s="24">
        <f t="shared" si="9"/>
        <v>2749</v>
      </c>
      <c r="AF107" s="24">
        <f t="shared" si="9"/>
        <v>-1780</v>
      </c>
      <c r="AG107" s="24">
        <f t="shared" si="9"/>
        <v>-2183</v>
      </c>
      <c r="AH107" s="24">
        <f t="shared" si="9"/>
        <v>1.4800000000002456</v>
      </c>
      <c r="AI107" s="24">
        <f t="shared" si="9"/>
        <v>3.0300000000002001</v>
      </c>
      <c r="AJ107" s="24">
        <f t="shared" si="9"/>
        <v>1550.5299999999997</v>
      </c>
      <c r="AK107" s="24">
        <f t="shared" si="9"/>
        <v>2949.4099999999962</v>
      </c>
      <c r="AL107" s="24">
        <f t="shared" si="9"/>
        <v>0</v>
      </c>
      <c r="AM107" s="24">
        <f t="shared" si="9"/>
        <v>0</v>
      </c>
      <c r="AN107" s="24">
        <f t="shared" si="9"/>
        <v>73</v>
      </c>
      <c r="AO107" s="24">
        <f t="shared" si="9"/>
        <v>129</v>
      </c>
      <c r="AP107" s="24">
        <f t="shared" si="9"/>
        <v>26</v>
      </c>
      <c r="AQ107" s="24">
        <f t="shared" si="9"/>
        <v>52</v>
      </c>
      <c r="AR107" s="24">
        <f t="shared" si="9"/>
        <v>710</v>
      </c>
      <c r="AS107" s="24">
        <f t="shared" si="9"/>
        <v>2365</v>
      </c>
      <c r="AT107" s="24">
        <f t="shared" si="9"/>
        <v>171</v>
      </c>
      <c r="AU107" s="24">
        <f t="shared" si="9"/>
        <v>464</v>
      </c>
      <c r="AV107" s="24">
        <f t="shared" si="9"/>
        <v>1239</v>
      </c>
      <c r="AW107" s="24">
        <f t="shared" si="9"/>
        <v>2784</v>
      </c>
      <c r="AX107" s="24">
        <f t="shared" si="9"/>
        <v>168</v>
      </c>
      <c r="AY107" s="24">
        <f t="shared" si="9"/>
        <v>324</v>
      </c>
      <c r="AZ107" s="24">
        <f t="shared" si="9"/>
        <v>32</v>
      </c>
      <c r="BA107" s="24">
        <f t="shared" si="9"/>
        <v>59</v>
      </c>
      <c r="BB107" s="24">
        <f t="shared" si="9"/>
        <v>4389</v>
      </c>
      <c r="BC107" s="24">
        <f t="shared" si="9"/>
        <v>10829</v>
      </c>
      <c r="BD107" s="24">
        <f t="shared" si="9"/>
        <v>175357</v>
      </c>
      <c r="BE107" s="24">
        <f t="shared" si="9"/>
        <v>39015</v>
      </c>
      <c r="BF107" s="24">
        <f t="shared" si="9"/>
        <v>2323</v>
      </c>
      <c r="BG107" s="24">
        <f t="shared" si="9"/>
        <v>3903</v>
      </c>
      <c r="BH107" s="24">
        <f t="shared" si="9"/>
        <v>1454</v>
      </c>
      <c r="BI107" s="24">
        <f t="shared" si="9"/>
        <v>5118</v>
      </c>
      <c r="BJ107" s="24">
        <f t="shared" si="9"/>
        <v>446</v>
      </c>
      <c r="BK107" s="24">
        <f t="shared" si="9"/>
        <v>1194</v>
      </c>
      <c r="BL107" s="37">
        <f t="shared" si="10"/>
        <v>197390.56</v>
      </c>
      <c r="BM107" s="37">
        <f t="shared" si="10"/>
        <v>95900.39999999998</v>
      </c>
    </row>
    <row r="108" spans="1:65" s="4" customFormat="1" x14ac:dyDescent="0.25">
      <c r="A108" s="26" t="s">
        <v>275</v>
      </c>
      <c r="B108" s="24">
        <f t="shared" si="11"/>
        <v>1097</v>
      </c>
      <c r="C108" s="24">
        <f t="shared" si="11"/>
        <v>2078</v>
      </c>
      <c r="D108" s="24">
        <f t="shared" si="11"/>
        <v>1771</v>
      </c>
      <c r="E108" s="24">
        <f t="shared" si="11"/>
        <v>3564</v>
      </c>
      <c r="F108" s="24">
        <f t="shared" si="11"/>
        <v>0</v>
      </c>
      <c r="G108" s="24">
        <f t="shared" si="11"/>
        <v>0</v>
      </c>
      <c r="H108" s="24">
        <f t="shared" si="11"/>
        <v>10957</v>
      </c>
      <c r="I108" s="24">
        <f t="shared" si="11"/>
        <v>22464</v>
      </c>
      <c r="J108" s="24">
        <f t="shared" si="11"/>
        <v>3381</v>
      </c>
      <c r="K108" s="24">
        <f t="shared" si="11"/>
        <v>7268</v>
      </c>
      <c r="L108" s="24">
        <f t="shared" si="11"/>
        <v>2400</v>
      </c>
      <c r="M108" s="24">
        <f t="shared" si="11"/>
        <v>4149</v>
      </c>
      <c r="N108" s="24">
        <f t="shared" si="11"/>
        <v>11118</v>
      </c>
      <c r="O108" s="24">
        <f t="shared" si="11"/>
        <v>32537</v>
      </c>
      <c r="P108" s="24">
        <f t="shared" si="11"/>
        <v>22583.31</v>
      </c>
      <c r="Q108" s="24">
        <f t="shared" si="11"/>
        <v>43289.07</v>
      </c>
      <c r="R108" s="24">
        <f t="shared" si="9"/>
        <v>879.16000000000054</v>
      </c>
      <c r="S108" s="24">
        <f t="shared" si="9"/>
        <v>1220.8000000000002</v>
      </c>
      <c r="T108" s="24">
        <f t="shared" si="9"/>
        <v>5094.2200000000075</v>
      </c>
      <c r="U108" s="24">
        <f t="shared" si="9"/>
        <v>10125.689999999995</v>
      </c>
      <c r="V108" s="24">
        <f t="shared" si="9"/>
        <v>9819</v>
      </c>
      <c r="W108" s="24">
        <f t="shared" si="9"/>
        <v>16320</v>
      </c>
      <c r="X108" s="24">
        <f t="shared" si="9"/>
        <v>22063</v>
      </c>
      <c r="Y108" s="24">
        <f t="shared" si="9"/>
        <v>44685</v>
      </c>
      <c r="Z108" s="24">
        <f t="shared" si="9"/>
        <v>10232</v>
      </c>
      <c r="AA108" s="24">
        <f t="shared" si="9"/>
        <v>21088</v>
      </c>
      <c r="AB108" s="24">
        <f t="shared" si="9"/>
        <v>489</v>
      </c>
      <c r="AC108" s="24">
        <f t="shared" si="9"/>
        <v>818</v>
      </c>
      <c r="AD108" s="24">
        <f t="shared" si="9"/>
        <v>1281</v>
      </c>
      <c r="AE108" s="24">
        <f t="shared" si="9"/>
        <v>2213</v>
      </c>
      <c r="AF108" s="24">
        <f t="shared" si="9"/>
        <v>75</v>
      </c>
      <c r="AG108" s="24">
        <f t="shared" si="9"/>
        <v>132</v>
      </c>
      <c r="AH108" s="24">
        <f t="shared" si="9"/>
        <v>35.349999999998545</v>
      </c>
      <c r="AI108" s="24">
        <f t="shared" si="9"/>
        <v>67.149999999994179</v>
      </c>
      <c r="AJ108" s="24">
        <f t="shared" si="9"/>
        <v>10346.879999999946</v>
      </c>
      <c r="AK108" s="24">
        <f t="shared" si="9"/>
        <v>20705.549999999901</v>
      </c>
      <c r="AL108" s="24">
        <f t="shared" si="9"/>
        <v>0</v>
      </c>
      <c r="AM108" s="24">
        <f t="shared" si="9"/>
        <v>0</v>
      </c>
      <c r="AN108" s="24">
        <f t="shared" si="9"/>
        <v>79</v>
      </c>
      <c r="AO108" s="24">
        <f t="shared" si="9"/>
        <v>123</v>
      </c>
      <c r="AP108" s="24">
        <f t="shared" si="9"/>
        <v>41</v>
      </c>
      <c r="AQ108" s="24">
        <f t="shared" si="9"/>
        <v>84</v>
      </c>
      <c r="AR108" s="24">
        <f t="shared" si="9"/>
        <v>4465</v>
      </c>
      <c r="AS108" s="24">
        <f t="shared" si="9"/>
        <v>9042</v>
      </c>
      <c r="AT108" s="24">
        <f t="shared" si="9"/>
        <v>293</v>
      </c>
      <c r="AU108" s="24">
        <f t="shared" si="9"/>
        <v>647</v>
      </c>
      <c r="AV108" s="24">
        <f t="shared" si="9"/>
        <v>2848</v>
      </c>
      <c r="AW108" s="24">
        <f t="shared" si="9"/>
        <v>5540</v>
      </c>
      <c r="AX108" s="24">
        <f t="shared" si="9"/>
        <v>276</v>
      </c>
      <c r="AY108" s="24">
        <f t="shared" si="9"/>
        <v>584</v>
      </c>
      <c r="AZ108" s="24">
        <f t="shared" si="9"/>
        <v>15</v>
      </c>
      <c r="BA108" s="24">
        <f t="shared" si="9"/>
        <v>30</v>
      </c>
      <c r="BB108" s="24">
        <f t="shared" si="9"/>
        <v>11364</v>
      </c>
      <c r="BC108" s="24">
        <f t="shared" si="9"/>
        <v>24770</v>
      </c>
      <c r="BD108" s="24">
        <f t="shared" si="9"/>
        <v>709484</v>
      </c>
      <c r="BE108" s="24">
        <f t="shared" si="9"/>
        <v>60315</v>
      </c>
      <c r="BF108" s="24">
        <f t="shared" si="9"/>
        <v>10727</v>
      </c>
      <c r="BG108" s="24">
        <f t="shared" si="9"/>
        <v>23761</v>
      </c>
      <c r="BH108" s="24">
        <f t="shared" si="9"/>
        <v>8949</v>
      </c>
      <c r="BI108" s="24">
        <f t="shared" si="9"/>
        <v>19761</v>
      </c>
      <c r="BJ108" s="24">
        <f t="shared" si="9"/>
        <v>507</v>
      </c>
      <c r="BK108" s="24">
        <f t="shared" si="9"/>
        <v>1184</v>
      </c>
      <c r="BL108" s="39">
        <f t="shared" si="10"/>
        <v>862669.91999999993</v>
      </c>
      <c r="BM108" s="39">
        <f t="shared" si="10"/>
        <v>378565.25999999989</v>
      </c>
    </row>
    <row r="109" spans="1:65" x14ac:dyDescent="0.25">
      <c r="A109" s="24" t="s">
        <v>276</v>
      </c>
      <c r="B109" s="24">
        <f t="shared" si="11"/>
        <v>479</v>
      </c>
      <c r="C109" s="24">
        <f t="shared" si="11"/>
        <v>306</v>
      </c>
      <c r="D109" s="24">
        <f t="shared" si="11"/>
        <v>90</v>
      </c>
      <c r="E109" s="24">
        <f t="shared" si="11"/>
        <v>31</v>
      </c>
      <c r="F109" s="24">
        <f t="shared" si="11"/>
        <v>0</v>
      </c>
      <c r="G109" s="24">
        <f t="shared" si="11"/>
        <v>0</v>
      </c>
      <c r="H109" s="24">
        <f t="shared" si="11"/>
        <v>32369</v>
      </c>
      <c r="I109" s="24">
        <f t="shared" si="11"/>
        <v>31717</v>
      </c>
      <c r="J109" s="24">
        <f t="shared" si="11"/>
        <v>2653</v>
      </c>
      <c r="K109" s="24">
        <f t="shared" si="11"/>
        <v>1714</v>
      </c>
      <c r="L109" s="24">
        <f t="shared" si="11"/>
        <v>4390</v>
      </c>
      <c r="M109" s="24">
        <f t="shared" si="11"/>
        <v>4491</v>
      </c>
      <c r="N109" s="24">
        <f t="shared" si="11"/>
        <v>29474</v>
      </c>
      <c r="O109" s="24">
        <f t="shared" si="11"/>
        <v>23531</v>
      </c>
      <c r="P109" s="24">
        <f t="shared" si="11"/>
        <v>10995.29</v>
      </c>
      <c r="Q109" s="24">
        <f t="shared" si="11"/>
        <v>18156.189999999999</v>
      </c>
      <c r="R109" s="24">
        <f t="shared" si="9"/>
        <v>50.759999999999877</v>
      </c>
      <c r="S109" s="24">
        <f t="shared" si="9"/>
        <v>64.550000000000409</v>
      </c>
      <c r="T109" s="24">
        <f t="shared" si="9"/>
        <v>17725.969999999976</v>
      </c>
      <c r="U109" s="24">
        <f t="shared" si="9"/>
        <v>16617.310000000019</v>
      </c>
      <c r="V109" s="24">
        <f t="shared" si="9"/>
        <v>22188</v>
      </c>
      <c r="W109" s="24">
        <f t="shared" si="9"/>
        <v>21898</v>
      </c>
      <c r="X109" s="24">
        <f t="shared" si="9"/>
        <v>63780</v>
      </c>
      <c r="Y109" s="24">
        <f t="shared" si="9"/>
        <v>56299</v>
      </c>
      <c r="Z109" s="24">
        <f>Z120-Z98-Z87-Z76-Z65-Z54-Z43-Z32-Z21-Z10</f>
        <v>0</v>
      </c>
      <c r="AA109" s="24">
        <f t="shared" si="9"/>
        <v>21193</v>
      </c>
      <c r="AB109" s="24">
        <f t="shared" si="9"/>
        <v>2372</v>
      </c>
      <c r="AC109" s="24">
        <f t="shared" si="9"/>
        <v>2196</v>
      </c>
      <c r="AD109" s="24">
        <f t="shared" si="9"/>
        <v>1572</v>
      </c>
      <c r="AE109" s="24">
        <f t="shared" si="9"/>
        <v>1728</v>
      </c>
      <c r="AF109" s="24">
        <f t="shared" si="9"/>
        <v>184</v>
      </c>
      <c r="AG109" s="24">
        <f t="shared" si="9"/>
        <v>225</v>
      </c>
      <c r="AH109" s="24">
        <f t="shared" si="9"/>
        <v>91.319999999999709</v>
      </c>
      <c r="AI109" s="24">
        <f t="shared" si="9"/>
        <v>92.989999999997963</v>
      </c>
      <c r="AJ109" s="24">
        <f t="shared" si="9"/>
        <v>0</v>
      </c>
      <c r="AK109" s="24">
        <f t="shared" si="9"/>
        <v>12473.71999999995</v>
      </c>
      <c r="AL109" s="24">
        <f t="shared" si="9"/>
        <v>165</v>
      </c>
      <c r="AM109" s="24">
        <f t="shared" si="9"/>
        <v>225</v>
      </c>
      <c r="AN109" s="24">
        <f t="shared" si="9"/>
        <v>34</v>
      </c>
      <c r="AO109" s="24">
        <f t="shared" si="9"/>
        <v>3</v>
      </c>
      <c r="AP109" s="24">
        <f t="shared" si="9"/>
        <v>89</v>
      </c>
      <c r="AQ109" s="24">
        <f t="shared" si="9"/>
        <v>97</v>
      </c>
      <c r="AR109" s="24">
        <f t="shared" si="9"/>
        <v>4313</v>
      </c>
      <c r="AS109" s="24">
        <f t="shared" si="9"/>
        <v>3679</v>
      </c>
      <c r="AT109" s="24">
        <f t="shared" si="9"/>
        <v>474</v>
      </c>
      <c r="AU109" s="24">
        <f t="shared" si="9"/>
        <v>429</v>
      </c>
      <c r="AV109" s="24">
        <f t="shared" si="9"/>
        <v>6931</v>
      </c>
      <c r="AW109" s="24">
        <f t="shared" si="9"/>
        <v>7348</v>
      </c>
      <c r="AX109" s="24">
        <f t="shared" si="9"/>
        <v>588</v>
      </c>
      <c r="AY109" s="24">
        <f t="shared" si="9"/>
        <v>553</v>
      </c>
      <c r="AZ109" s="24">
        <f t="shared" si="9"/>
        <v>7</v>
      </c>
      <c r="BA109" s="24">
        <f t="shared" si="9"/>
        <v>3</v>
      </c>
      <c r="BB109" s="24">
        <f t="shared" si="9"/>
        <v>14668</v>
      </c>
      <c r="BC109" s="24">
        <f t="shared" si="9"/>
        <v>10784</v>
      </c>
      <c r="BD109" s="24">
        <f t="shared" si="9"/>
        <v>1418375</v>
      </c>
      <c r="BE109" s="24">
        <f t="shared" si="9"/>
        <v>58383</v>
      </c>
      <c r="BF109" s="24">
        <f t="shared" si="9"/>
        <v>0</v>
      </c>
      <c r="BG109" s="24">
        <f t="shared" ref="BG109:BK109" si="12">BG120-BG98-BG87-BG76-BG65-BG54-BG43-BG32-BG21-BG10</f>
        <v>0</v>
      </c>
      <c r="BH109" s="24">
        <f t="shared" si="12"/>
        <v>0</v>
      </c>
      <c r="BI109" s="24">
        <f t="shared" si="12"/>
        <v>0</v>
      </c>
      <c r="BJ109" s="24">
        <f t="shared" si="12"/>
        <v>2226</v>
      </c>
      <c r="BK109" s="24">
        <f t="shared" si="12"/>
        <v>2074</v>
      </c>
      <c r="BL109" s="37">
        <f t="shared" si="10"/>
        <v>1636284.3399999999</v>
      </c>
      <c r="BM109" s="37">
        <f t="shared" si="10"/>
        <v>296311.75999999995</v>
      </c>
    </row>
    <row r="110" spans="1:65" x14ac:dyDescent="0.25">
      <c r="A110" s="36" t="s">
        <v>277</v>
      </c>
      <c r="B110" s="24">
        <f t="shared" si="11"/>
        <v>692</v>
      </c>
      <c r="C110" s="24">
        <f t="shared" si="11"/>
        <v>692</v>
      </c>
      <c r="D110" s="24">
        <f t="shared" si="11"/>
        <v>218</v>
      </c>
      <c r="E110" s="24">
        <f t="shared" si="11"/>
        <v>218</v>
      </c>
      <c r="F110" s="24">
        <f t="shared" si="11"/>
        <v>0</v>
      </c>
      <c r="G110" s="24">
        <f t="shared" si="11"/>
        <v>0</v>
      </c>
      <c r="H110" s="24">
        <f t="shared" si="11"/>
        <v>32183</v>
      </c>
      <c r="I110" s="24">
        <f t="shared" si="11"/>
        <v>32183</v>
      </c>
      <c r="J110" s="24">
        <f t="shared" si="11"/>
        <v>2582</v>
      </c>
      <c r="K110" s="24">
        <f t="shared" si="11"/>
        <v>2582</v>
      </c>
      <c r="L110" s="24">
        <f t="shared" si="11"/>
        <v>4807</v>
      </c>
      <c r="M110" s="24">
        <f t="shared" si="11"/>
        <v>4807</v>
      </c>
      <c r="N110" s="24">
        <f t="shared" si="11"/>
        <v>23931</v>
      </c>
      <c r="O110" s="24">
        <f t="shared" si="11"/>
        <v>23931</v>
      </c>
      <c r="P110" s="24">
        <f t="shared" si="11"/>
        <v>11291.66</v>
      </c>
      <c r="Q110" s="24">
        <f t="shared" si="11"/>
        <v>21644.54</v>
      </c>
      <c r="R110" s="24">
        <f t="shared" ref="R110:BK111" si="13">R121-R99-R88-R77-R66-R55-R44-R33-R22-R11</f>
        <v>619.95999999999765</v>
      </c>
      <c r="S110" s="24">
        <f t="shared" si="13"/>
        <v>619.95999999999765</v>
      </c>
      <c r="T110" s="24">
        <f t="shared" si="13"/>
        <v>17985.659999999993</v>
      </c>
      <c r="U110" s="24">
        <f t="shared" si="13"/>
        <v>17985.659999999993</v>
      </c>
      <c r="V110" s="24">
        <f t="shared" si="13"/>
        <v>-25486</v>
      </c>
      <c r="W110" s="24">
        <f t="shared" si="13"/>
        <v>-25486</v>
      </c>
      <c r="X110" s="24">
        <f t="shared" si="13"/>
        <v>67295</v>
      </c>
      <c r="Y110" s="24">
        <f t="shared" si="13"/>
        <v>67295</v>
      </c>
      <c r="Z110" s="24">
        <f>Z121-Z99-Z88-Z77-Z66-Z55-Z44-Z33-Z22-Z11</f>
        <v>-146</v>
      </c>
      <c r="AA110" s="24">
        <f t="shared" si="13"/>
        <v>21643</v>
      </c>
      <c r="AB110" s="24">
        <f t="shared" si="13"/>
        <v>2683</v>
      </c>
      <c r="AC110" s="24">
        <f t="shared" si="13"/>
        <v>2683</v>
      </c>
      <c r="AD110" s="24">
        <f t="shared" si="13"/>
        <v>1695</v>
      </c>
      <c r="AE110" s="24">
        <f t="shared" si="13"/>
        <v>1695</v>
      </c>
      <c r="AF110" s="24">
        <f t="shared" si="13"/>
        <v>-166</v>
      </c>
      <c r="AG110" s="24">
        <f t="shared" si="13"/>
        <v>-166</v>
      </c>
      <c r="AH110" s="24">
        <f t="shared" si="13"/>
        <v>69.309999999997672</v>
      </c>
      <c r="AI110" s="24">
        <f t="shared" si="13"/>
        <v>69.309999999997672</v>
      </c>
      <c r="AJ110" s="24">
        <f t="shared" si="13"/>
        <v>1414.2299999999996</v>
      </c>
      <c r="AK110" s="24">
        <f t="shared" si="13"/>
        <v>14022.760000000133</v>
      </c>
      <c r="AL110" s="24">
        <f t="shared" si="13"/>
        <v>-115</v>
      </c>
      <c r="AM110" s="24">
        <f t="shared" si="13"/>
        <v>-115</v>
      </c>
      <c r="AN110" s="24">
        <f t="shared" si="13"/>
        <v>66</v>
      </c>
      <c r="AO110" s="24">
        <f t="shared" si="13"/>
        <v>66</v>
      </c>
      <c r="AP110" s="24">
        <f t="shared" si="13"/>
        <v>81</v>
      </c>
      <c r="AQ110" s="24">
        <f t="shared" si="13"/>
        <v>81</v>
      </c>
      <c r="AR110" s="24">
        <f t="shared" si="13"/>
        <v>4328</v>
      </c>
      <c r="AS110" s="24">
        <f t="shared" si="13"/>
        <v>4328</v>
      </c>
      <c r="AT110" s="24">
        <f t="shared" si="13"/>
        <v>440</v>
      </c>
      <c r="AU110" s="24">
        <f t="shared" si="13"/>
        <v>440</v>
      </c>
      <c r="AV110" s="24">
        <f t="shared" si="13"/>
        <v>6805</v>
      </c>
      <c r="AW110" s="24">
        <f t="shared" si="13"/>
        <v>6805</v>
      </c>
      <c r="AX110" s="24">
        <f t="shared" si="13"/>
        <v>567</v>
      </c>
      <c r="AY110" s="24">
        <f t="shared" si="13"/>
        <v>567</v>
      </c>
      <c r="AZ110" s="24">
        <f t="shared" si="13"/>
        <v>9</v>
      </c>
      <c r="BA110" s="24">
        <f t="shared" si="13"/>
        <v>9</v>
      </c>
      <c r="BB110" s="24">
        <f t="shared" si="13"/>
        <v>14380</v>
      </c>
      <c r="BC110" s="24">
        <f t="shared" si="13"/>
        <v>14380</v>
      </c>
      <c r="BD110" s="24">
        <f t="shared" si="13"/>
        <v>1397012</v>
      </c>
      <c r="BE110" s="24">
        <f t="shared" si="13"/>
        <v>65501</v>
      </c>
      <c r="BF110" s="24">
        <f t="shared" si="13"/>
        <v>99</v>
      </c>
      <c r="BG110" s="24">
        <f t="shared" si="13"/>
        <v>1461</v>
      </c>
      <c r="BH110" s="24">
        <f t="shared" si="13"/>
        <v>0</v>
      </c>
      <c r="BI110" s="24">
        <f t="shared" si="13"/>
        <v>0</v>
      </c>
      <c r="BJ110" s="24">
        <f t="shared" si="13"/>
        <v>-2160</v>
      </c>
      <c r="BK110" s="24">
        <f t="shared" si="13"/>
        <v>-2161</v>
      </c>
      <c r="BL110" s="37">
        <f t="shared" si="10"/>
        <v>1563180.82</v>
      </c>
      <c r="BM110" s="37">
        <f t="shared" si="10"/>
        <v>277781.2300000001</v>
      </c>
    </row>
    <row r="111" spans="1:65" s="4" customFormat="1" x14ac:dyDescent="0.25">
      <c r="A111" s="26" t="s">
        <v>192</v>
      </c>
      <c r="B111" s="24">
        <f t="shared" si="11"/>
        <v>884</v>
      </c>
      <c r="C111" s="24">
        <f t="shared" si="11"/>
        <v>1692</v>
      </c>
      <c r="D111" s="24">
        <f t="shared" si="11"/>
        <v>1643</v>
      </c>
      <c r="E111" s="24">
        <f t="shared" si="11"/>
        <v>3377</v>
      </c>
      <c r="F111" s="24">
        <f t="shared" si="11"/>
        <v>0</v>
      </c>
      <c r="G111" s="24">
        <f t="shared" si="11"/>
        <v>0</v>
      </c>
      <c r="H111" s="24">
        <f t="shared" si="11"/>
        <v>11144</v>
      </c>
      <c r="I111" s="24">
        <f t="shared" si="11"/>
        <v>21998</v>
      </c>
      <c r="J111" s="24">
        <f t="shared" si="11"/>
        <v>3452</v>
      </c>
      <c r="K111" s="24">
        <f t="shared" si="11"/>
        <v>6400</v>
      </c>
      <c r="L111" s="24">
        <f t="shared" si="11"/>
        <v>1984</v>
      </c>
      <c r="M111" s="24">
        <f t="shared" si="11"/>
        <v>3831</v>
      </c>
      <c r="N111" s="24">
        <f t="shared" si="11"/>
        <v>16661</v>
      </c>
      <c r="O111" s="24">
        <f t="shared" si="11"/>
        <v>32137</v>
      </c>
      <c r="P111" s="24">
        <f t="shared" si="11"/>
        <v>22286.94</v>
      </c>
      <c r="Q111" s="24">
        <f t="shared" si="11"/>
        <v>39800.720000000001</v>
      </c>
      <c r="R111" s="24">
        <f t="shared" si="13"/>
        <v>309.95999999999947</v>
      </c>
      <c r="S111" s="24">
        <f t="shared" si="13"/>
        <v>665.38999999999919</v>
      </c>
      <c r="T111" s="24">
        <f t="shared" si="13"/>
        <v>4834.5600000000031</v>
      </c>
      <c r="U111" s="24">
        <f t="shared" si="13"/>
        <v>8757.3300000000236</v>
      </c>
      <c r="V111" s="24">
        <f t="shared" si="13"/>
        <v>6519</v>
      </c>
      <c r="W111" s="24">
        <f t="shared" si="13"/>
        <v>12733</v>
      </c>
      <c r="X111" s="24">
        <f t="shared" si="13"/>
        <v>18548</v>
      </c>
      <c r="Y111" s="24">
        <f t="shared" si="13"/>
        <v>33689</v>
      </c>
      <c r="Z111" s="24">
        <f>Z122-Z100-Z89-Z78-Z67-Z56-Z45-Z34-Z23-Z12</f>
        <v>10378</v>
      </c>
      <c r="AA111" s="24">
        <f t="shared" si="13"/>
        <v>20638</v>
      </c>
      <c r="AB111" s="24">
        <f t="shared" si="13"/>
        <v>177</v>
      </c>
      <c r="AC111" s="24">
        <f t="shared" si="13"/>
        <v>331</v>
      </c>
      <c r="AD111" s="24">
        <f t="shared" si="13"/>
        <v>1158</v>
      </c>
      <c r="AE111" s="24">
        <f t="shared" si="13"/>
        <v>2246</v>
      </c>
      <c r="AF111" s="24">
        <f t="shared" si="13"/>
        <v>94</v>
      </c>
      <c r="AG111" s="24">
        <f t="shared" si="13"/>
        <v>188</v>
      </c>
      <c r="AH111" s="24">
        <f t="shared" si="13"/>
        <v>57.360000000000582</v>
      </c>
      <c r="AI111" s="24">
        <f t="shared" si="13"/>
        <v>90.840000000003783</v>
      </c>
      <c r="AJ111" s="24">
        <f t="shared" si="13"/>
        <v>8932.6299999999937</v>
      </c>
      <c r="AK111" s="24">
        <f t="shared" si="13"/>
        <v>19156.509999999929</v>
      </c>
      <c r="AL111" s="24">
        <f t="shared" si="13"/>
        <v>50</v>
      </c>
      <c r="AM111" s="24">
        <f t="shared" si="13"/>
        <v>110</v>
      </c>
      <c r="AN111" s="24">
        <f t="shared" si="13"/>
        <v>48</v>
      </c>
      <c r="AO111" s="24">
        <f t="shared" si="13"/>
        <v>62</v>
      </c>
      <c r="AP111" s="24">
        <f t="shared" si="13"/>
        <v>51</v>
      </c>
      <c r="AQ111" s="24">
        <f t="shared" si="13"/>
        <v>102</v>
      </c>
      <c r="AR111" s="24">
        <f t="shared" si="13"/>
        <v>4447</v>
      </c>
      <c r="AS111" s="24">
        <f t="shared" si="13"/>
        <v>8393</v>
      </c>
      <c r="AT111" s="24">
        <f t="shared" si="13"/>
        <v>327</v>
      </c>
      <c r="AU111" s="24">
        <f t="shared" si="13"/>
        <v>637</v>
      </c>
      <c r="AV111" s="24">
        <f t="shared" si="13"/>
        <v>2975</v>
      </c>
      <c r="AW111" s="24">
        <f t="shared" si="13"/>
        <v>6083</v>
      </c>
      <c r="AX111" s="24">
        <f t="shared" si="13"/>
        <v>296</v>
      </c>
      <c r="AY111" s="24">
        <f t="shared" si="13"/>
        <v>574</v>
      </c>
      <c r="AZ111" s="24">
        <f t="shared" si="13"/>
        <v>11</v>
      </c>
      <c r="BA111" s="24">
        <f t="shared" si="13"/>
        <v>24</v>
      </c>
      <c r="BB111" s="24">
        <f t="shared" si="13"/>
        <v>11655</v>
      </c>
      <c r="BC111" s="24">
        <f t="shared" si="13"/>
        <v>21172</v>
      </c>
      <c r="BD111" s="24">
        <f t="shared" si="13"/>
        <v>730847</v>
      </c>
      <c r="BE111" s="24">
        <f t="shared" si="13"/>
        <v>53193</v>
      </c>
      <c r="BF111" s="24">
        <f t="shared" si="13"/>
        <v>10627</v>
      </c>
      <c r="BG111" s="24">
        <f t="shared" si="13"/>
        <v>22299</v>
      </c>
      <c r="BH111" s="24">
        <f t="shared" si="13"/>
        <v>9489</v>
      </c>
      <c r="BI111" s="24">
        <f t="shared" si="13"/>
        <v>18835</v>
      </c>
      <c r="BJ111" s="24">
        <f t="shared" si="13"/>
        <v>573</v>
      </c>
      <c r="BK111" s="24">
        <f t="shared" si="13"/>
        <v>1095</v>
      </c>
      <c r="BL111" s="39">
        <f t="shared" si="10"/>
        <v>880459.45</v>
      </c>
      <c r="BM111" s="39">
        <f t="shared" si="10"/>
        <v>340309.78999999992</v>
      </c>
    </row>
    <row r="113" spans="1:65" x14ac:dyDescent="0.25">
      <c r="A113" s="7" t="s">
        <v>40</v>
      </c>
    </row>
    <row r="114" spans="1:65" x14ac:dyDescent="0.25">
      <c r="A114" s="42" t="s">
        <v>0</v>
      </c>
      <c r="B114" s="94" t="s">
        <v>1</v>
      </c>
      <c r="C114" s="95"/>
      <c r="D114" s="94" t="s">
        <v>232</v>
      </c>
      <c r="E114" s="95"/>
      <c r="F114" s="94" t="s">
        <v>2</v>
      </c>
      <c r="G114" s="95"/>
      <c r="H114" s="94" t="s">
        <v>3</v>
      </c>
      <c r="I114" s="95"/>
      <c r="J114" s="94" t="s">
        <v>241</v>
      </c>
      <c r="K114" s="95"/>
      <c r="L114" s="94" t="s">
        <v>233</v>
      </c>
      <c r="M114" s="95"/>
      <c r="N114" s="94" t="s">
        <v>246</v>
      </c>
      <c r="O114" s="95"/>
      <c r="P114" s="94" t="s">
        <v>5</v>
      </c>
      <c r="Q114" s="95"/>
      <c r="R114" s="94" t="s">
        <v>4</v>
      </c>
      <c r="S114" s="95"/>
      <c r="T114" s="94" t="s">
        <v>6</v>
      </c>
      <c r="U114" s="95"/>
      <c r="V114" s="94" t="s">
        <v>7</v>
      </c>
      <c r="W114" s="95"/>
      <c r="X114" s="94" t="s">
        <v>8</v>
      </c>
      <c r="Y114" s="95"/>
      <c r="Z114" s="94" t="s">
        <v>9</v>
      </c>
      <c r="AA114" s="95"/>
      <c r="AB114" s="94" t="s">
        <v>240</v>
      </c>
      <c r="AC114" s="95"/>
      <c r="AD114" s="94" t="s">
        <v>10</v>
      </c>
      <c r="AE114" s="95"/>
      <c r="AF114" s="94" t="s">
        <v>11</v>
      </c>
      <c r="AG114" s="95"/>
      <c r="AH114" s="94" t="s">
        <v>234</v>
      </c>
      <c r="AI114" s="95"/>
      <c r="AJ114" s="94" t="s">
        <v>12</v>
      </c>
      <c r="AK114" s="95"/>
      <c r="AL114" s="94" t="s">
        <v>235</v>
      </c>
      <c r="AM114" s="95"/>
      <c r="AN114" s="94" t="s">
        <v>300</v>
      </c>
      <c r="AO114" s="95"/>
      <c r="AP114" s="94" t="s">
        <v>236</v>
      </c>
      <c r="AQ114" s="95"/>
      <c r="AR114" s="94" t="s">
        <v>239</v>
      </c>
      <c r="AS114" s="95"/>
      <c r="AT114" s="94" t="s">
        <v>13</v>
      </c>
      <c r="AU114" s="95"/>
      <c r="AV114" s="94" t="s">
        <v>14</v>
      </c>
      <c r="AW114" s="95"/>
      <c r="AX114" s="94" t="s">
        <v>15</v>
      </c>
      <c r="AY114" s="95"/>
      <c r="AZ114" s="94" t="s">
        <v>16</v>
      </c>
      <c r="BA114" s="95"/>
      <c r="BB114" s="94" t="s">
        <v>17</v>
      </c>
      <c r="BC114" s="95"/>
      <c r="BD114" s="94" t="s">
        <v>237</v>
      </c>
      <c r="BE114" s="95"/>
      <c r="BF114" s="94" t="s">
        <v>238</v>
      </c>
      <c r="BG114" s="95"/>
      <c r="BH114" s="94" t="s">
        <v>18</v>
      </c>
      <c r="BI114" s="95"/>
      <c r="BJ114" s="94" t="s">
        <v>19</v>
      </c>
      <c r="BK114" s="95"/>
      <c r="BL114" s="96" t="s">
        <v>20</v>
      </c>
      <c r="BM114" s="97"/>
    </row>
    <row r="115" spans="1:65" ht="30" x14ac:dyDescent="0.25">
      <c r="A115" s="42"/>
      <c r="B115" s="34" t="s">
        <v>298</v>
      </c>
      <c r="C115" s="35" t="s">
        <v>299</v>
      </c>
      <c r="D115" s="34" t="s">
        <v>298</v>
      </c>
      <c r="E115" s="35" t="s">
        <v>299</v>
      </c>
      <c r="F115" s="34" t="s">
        <v>298</v>
      </c>
      <c r="G115" s="35" t="s">
        <v>299</v>
      </c>
      <c r="H115" s="34" t="s">
        <v>298</v>
      </c>
      <c r="I115" s="35" t="s">
        <v>299</v>
      </c>
      <c r="J115" s="34" t="s">
        <v>298</v>
      </c>
      <c r="K115" s="35" t="s">
        <v>299</v>
      </c>
      <c r="L115" s="34" t="s">
        <v>298</v>
      </c>
      <c r="M115" s="35" t="s">
        <v>299</v>
      </c>
      <c r="N115" s="34" t="s">
        <v>298</v>
      </c>
      <c r="O115" s="35" t="s">
        <v>299</v>
      </c>
      <c r="P115" s="34" t="s">
        <v>298</v>
      </c>
      <c r="Q115" s="35" t="s">
        <v>299</v>
      </c>
      <c r="R115" s="34" t="s">
        <v>298</v>
      </c>
      <c r="S115" s="35" t="s">
        <v>299</v>
      </c>
      <c r="T115" s="34" t="s">
        <v>298</v>
      </c>
      <c r="U115" s="35" t="s">
        <v>299</v>
      </c>
      <c r="V115" s="34" t="s">
        <v>298</v>
      </c>
      <c r="W115" s="35" t="s">
        <v>299</v>
      </c>
      <c r="X115" s="34" t="s">
        <v>298</v>
      </c>
      <c r="Y115" s="35" t="s">
        <v>299</v>
      </c>
      <c r="Z115" s="34" t="s">
        <v>298</v>
      </c>
      <c r="AA115" s="35" t="s">
        <v>299</v>
      </c>
      <c r="AB115" s="34" t="s">
        <v>298</v>
      </c>
      <c r="AC115" s="35" t="s">
        <v>299</v>
      </c>
      <c r="AD115" s="34" t="s">
        <v>298</v>
      </c>
      <c r="AE115" s="35" t="s">
        <v>299</v>
      </c>
      <c r="AF115" s="34" t="s">
        <v>298</v>
      </c>
      <c r="AG115" s="35" t="s">
        <v>299</v>
      </c>
      <c r="AH115" s="34" t="s">
        <v>298</v>
      </c>
      <c r="AI115" s="35" t="s">
        <v>299</v>
      </c>
      <c r="AJ115" s="34" t="s">
        <v>298</v>
      </c>
      <c r="AK115" s="35" t="s">
        <v>299</v>
      </c>
      <c r="AL115" s="34" t="s">
        <v>298</v>
      </c>
      <c r="AM115" s="35" t="s">
        <v>299</v>
      </c>
      <c r="AN115" s="34" t="s">
        <v>298</v>
      </c>
      <c r="AO115" s="35" t="s">
        <v>299</v>
      </c>
      <c r="AP115" s="34" t="s">
        <v>298</v>
      </c>
      <c r="AQ115" s="35" t="s">
        <v>299</v>
      </c>
      <c r="AR115" s="34" t="s">
        <v>298</v>
      </c>
      <c r="AS115" s="35" t="s">
        <v>299</v>
      </c>
      <c r="AT115" s="34" t="s">
        <v>298</v>
      </c>
      <c r="AU115" s="35" t="s">
        <v>299</v>
      </c>
      <c r="AV115" s="34" t="s">
        <v>298</v>
      </c>
      <c r="AW115" s="35" t="s">
        <v>299</v>
      </c>
      <c r="AX115" s="34" t="s">
        <v>298</v>
      </c>
      <c r="AY115" s="35" t="s">
        <v>299</v>
      </c>
      <c r="AZ115" s="34" t="s">
        <v>298</v>
      </c>
      <c r="BA115" s="35" t="s">
        <v>299</v>
      </c>
      <c r="BB115" s="34" t="s">
        <v>298</v>
      </c>
      <c r="BC115" s="35" t="s">
        <v>299</v>
      </c>
      <c r="BD115" s="34" t="s">
        <v>298</v>
      </c>
      <c r="BE115" s="35" t="s">
        <v>299</v>
      </c>
      <c r="BF115" s="34" t="s">
        <v>298</v>
      </c>
      <c r="BG115" s="35" t="s">
        <v>299</v>
      </c>
      <c r="BH115" s="34" t="s">
        <v>298</v>
      </c>
      <c r="BI115" s="35" t="s">
        <v>299</v>
      </c>
      <c r="BJ115" s="34" t="s">
        <v>298</v>
      </c>
      <c r="BK115" s="35" t="s">
        <v>299</v>
      </c>
      <c r="BL115" s="34" t="s">
        <v>298</v>
      </c>
      <c r="BM115" s="35" t="s">
        <v>299</v>
      </c>
    </row>
    <row r="116" spans="1:65" x14ac:dyDescent="0.25">
      <c r="A116" s="24" t="s">
        <v>272</v>
      </c>
      <c r="B116" s="24">
        <v>38789</v>
      </c>
      <c r="C116" s="24">
        <v>70609</v>
      </c>
      <c r="D116" s="24">
        <v>64022</v>
      </c>
      <c r="E116" s="24">
        <v>127061</v>
      </c>
      <c r="F116" s="24">
        <v>878560</v>
      </c>
      <c r="G116" s="24">
        <v>890492</v>
      </c>
      <c r="H116" s="24">
        <v>473107</v>
      </c>
      <c r="I116" s="24">
        <v>783123</v>
      </c>
      <c r="J116" s="24">
        <v>129896</v>
      </c>
      <c r="K116" s="24">
        <v>239529</v>
      </c>
      <c r="L116" s="24">
        <v>147378</v>
      </c>
      <c r="M116" s="24">
        <v>276408</v>
      </c>
      <c r="N116" s="24">
        <v>143681</v>
      </c>
      <c r="O116" s="24">
        <v>296611</v>
      </c>
      <c r="P116" s="24">
        <v>27919.75</v>
      </c>
      <c r="Q116" s="24">
        <v>53286.59</v>
      </c>
      <c r="R116" s="24">
        <v>15840.7</v>
      </c>
      <c r="S116" s="24">
        <v>26905.279999999999</v>
      </c>
      <c r="T116" s="24">
        <v>105494.96</v>
      </c>
      <c r="U116" s="24">
        <v>192094.88</v>
      </c>
      <c r="V116" s="24">
        <v>492870</v>
      </c>
      <c r="W116" s="24">
        <v>800205</v>
      </c>
      <c r="X116" s="24">
        <v>518479</v>
      </c>
      <c r="Y116" s="24">
        <v>1055510</v>
      </c>
      <c r="Z116" s="24">
        <v>241836</v>
      </c>
      <c r="AA116" s="24">
        <v>454771</v>
      </c>
      <c r="AB116" s="24">
        <v>28248</v>
      </c>
      <c r="AC116" s="24">
        <v>50001</v>
      </c>
      <c r="AD116" s="24">
        <v>45237</v>
      </c>
      <c r="AE116" s="24">
        <v>90877</v>
      </c>
      <c r="AF116" s="24">
        <v>59157</v>
      </c>
      <c r="AG116" s="24">
        <v>113207</v>
      </c>
      <c r="AH116" s="24">
        <v>30866.3</v>
      </c>
      <c r="AI116" s="24">
        <v>59513.98</v>
      </c>
      <c r="AJ116" s="24">
        <v>466861.99</v>
      </c>
      <c r="AK116" s="24">
        <v>793101.28</v>
      </c>
      <c r="AL116" s="24">
        <v>1587</v>
      </c>
      <c r="AM116" s="24">
        <v>3730</v>
      </c>
      <c r="AN116" s="24">
        <v>96132</v>
      </c>
      <c r="AO116" s="24">
        <v>174576</v>
      </c>
      <c r="AP116" s="24">
        <v>13612</v>
      </c>
      <c r="AQ116" s="24">
        <v>24781</v>
      </c>
      <c r="AR116" s="24">
        <v>318415</v>
      </c>
      <c r="AS116" s="24">
        <v>565856</v>
      </c>
      <c r="AT116" s="24">
        <v>82100</v>
      </c>
      <c r="AU116" s="24">
        <v>155040</v>
      </c>
      <c r="AV116" s="24">
        <v>323673</v>
      </c>
      <c r="AW116" s="24">
        <v>498711</v>
      </c>
      <c r="AX116" s="24">
        <v>58986</v>
      </c>
      <c r="AY116" s="24">
        <v>99133</v>
      </c>
      <c r="AZ116" s="24">
        <v>319290</v>
      </c>
      <c r="BA116" s="24">
        <v>565656</v>
      </c>
      <c r="BB116" s="24">
        <v>303769</v>
      </c>
      <c r="BC116" s="24">
        <v>595302</v>
      </c>
      <c r="BD116" s="24">
        <v>851059</v>
      </c>
      <c r="BE116" s="24">
        <v>1857257</v>
      </c>
      <c r="BF116" s="24">
        <v>446665</v>
      </c>
      <c r="BG116" s="24">
        <v>819391</v>
      </c>
      <c r="BH116" s="24">
        <v>447618</v>
      </c>
      <c r="BI116" s="24">
        <v>878741</v>
      </c>
      <c r="BJ116" s="24">
        <v>125266</v>
      </c>
      <c r="BK116" s="24">
        <v>208086</v>
      </c>
      <c r="BL116" s="37">
        <f t="shared" ref="BL116:BM122" si="14">SUM(B116+D116+F116+H116+J116+L116+N116+P116+R116+T116+V116+X116+Z116+AB116+AD116+AF116+AH116+AJ116+AL116+AN116+AP116+AR116+AT116+AV116+AX116+AZ116+BB116+BD116+BF116+BH116+BJ116)</f>
        <v>7296415.7000000002</v>
      </c>
      <c r="BM116" s="37">
        <f t="shared" si="14"/>
        <v>12819566.010000002</v>
      </c>
    </row>
    <row r="117" spans="1:65" x14ac:dyDescent="0.25">
      <c r="A117" s="24" t="s">
        <v>273</v>
      </c>
      <c r="B117" s="24"/>
      <c r="C117" s="24"/>
      <c r="D117" s="24"/>
      <c r="E117" s="24"/>
      <c r="F117" s="24">
        <v>45</v>
      </c>
      <c r="G117" s="24">
        <v>45</v>
      </c>
      <c r="H117" s="24">
        <v>5037</v>
      </c>
      <c r="I117" s="24">
        <v>6919</v>
      </c>
      <c r="J117" s="24">
        <v>2453</v>
      </c>
      <c r="K117" s="24">
        <v>6106</v>
      </c>
      <c r="L117" s="24">
        <v>1303</v>
      </c>
      <c r="M117" s="24">
        <v>2315</v>
      </c>
      <c r="N117" s="24">
        <v>17511</v>
      </c>
      <c r="O117" s="24">
        <v>48171</v>
      </c>
      <c r="P117" s="24"/>
      <c r="Q117" s="24"/>
      <c r="R117" s="24">
        <v>331.91</v>
      </c>
      <c r="S117" s="24">
        <v>1012.3</v>
      </c>
      <c r="T117" s="24">
        <v>2418.96</v>
      </c>
      <c r="U117" s="24">
        <v>6130.6</v>
      </c>
      <c r="V117" s="24">
        <v>4261</v>
      </c>
      <c r="W117" s="24">
        <v>14471</v>
      </c>
      <c r="X117" s="24">
        <v>11782</v>
      </c>
      <c r="Y117" s="24">
        <v>27729</v>
      </c>
      <c r="Z117" s="24">
        <v>6531</v>
      </c>
      <c r="AA117" s="24">
        <v>11283</v>
      </c>
      <c r="AB117" s="24">
        <v>307</v>
      </c>
      <c r="AC117" s="24">
        <v>886</v>
      </c>
      <c r="AD117" s="24">
        <v>671</v>
      </c>
      <c r="AE117" s="24">
        <v>1257</v>
      </c>
      <c r="AF117" s="24">
        <v>963</v>
      </c>
      <c r="AG117" s="24">
        <v>3789</v>
      </c>
      <c r="AH117" s="24"/>
      <c r="AI117" s="24"/>
      <c r="AJ117" s="24">
        <v>13252.66</v>
      </c>
      <c r="AK117" s="24">
        <v>19872.75</v>
      </c>
      <c r="AL117" s="24">
        <v>51</v>
      </c>
      <c r="AM117" s="24">
        <v>95</v>
      </c>
      <c r="AN117" s="24"/>
      <c r="AO117" s="24"/>
      <c r="AP117" s="24">
        <v>248</v>
      </c>
      <c r="AQ117" s="24">
        <v>690</v>
      </c>
      <c r="AR117" s="24">
        <v>1969</v>
      </c>
      <c r="AS117" s="24">
        <v>7988</v>
      </c>
      <c r="AT117" s="24">
        <v>2599</v>
      </c>
      <c r="AU117" s="24">
        <v>9508</v>
      </c>
      <c r="AV117" s="24">
        <v>1625</v>
      </c>
      <c r="AW117" s="24">
        <v>3638</v>
      </c>
      <c r="AX117" s="24">
        <v>33</v>
      </c>
      <c r="AY117" s="24">
        <v>476</v>
      </c>
      <c r="AZ117" s="24"/>
      <c r="BA117" s="24"/>
      <c r="BB117" s="24">
        <v>5965</v>
      </c>
      <c r="BC117" s="24">
        <v>14579</v>
      </c>
      <c r="BD117" s="24">
        <v>33782</v>
      </c>
      <c r="BE117" s="24">
        <v>62498</v>
      </c>
      <c r="BF117" s="24">
        <v>22707</v>
      </c>
      <c r="BG117" s="24">
        <v>32930</v>
      </c>
      <c r="BH117" s="24">
        <v>991</v>
      </c>
      <c r="BI117" s="24">
        <v>5182</v>
      </c>
      <c r="BJ117" s="24">
        <v>5130</v>
      </c>
      <c r="BK117" s="24">
        <v>5583</v>
      </c>
      <c r="BL117" s="37">
        <f t="shared" si="14"/>
        <v>141967.53</v>
      </c>
      <c r="BM117" s="37">
        <f t="shared" si="14"/>
        <v>293153.65000000002</v>
      </c>
    </row>
    <row r="118" spans="1:65" x14ac:dyDescent="0.25">
      <c r="A118" s="24" t="s">
        <v>274</v>
      </c>
      <c r="B118" s="24">
        <v>9405</v>
      </c>
      <c r="C118" s="24">
        <v>16970</v>
      </c>
      <c r="D118" s="24">
        <v>11533</v>
      </c>
      <c r="E118" s="24">
        <v>22005</v>
      </c>
      <c r="F118" s="24">
        <v>477479</v>
      </c>
      <c r="G118" s="24">
        <v>482536</v>
      </c>
      <c r="H118" s="24">
        <v>-260224</v>
      </c>
      <c r="I118" s="24">
        <v>-396334</v>
      </c>
      <c r="J118" s="24">
        <v>16652</v>
      </c>
      <c r="K118" s="24">
        <v>31686</v>
      </c>
      <c r="L118" s="24">
        <v>39022</v>
      </c>
      <c r="M118" s="24">
        <v>75801</v>
      </c>
      <c r="N118" s="24">
        <v>27688</v>
      </c>
      <c r="O118" s="24">
        <v>83610</v>
      </c>
      <c r="P118" s="24">
        <v>5336.44</v>
      </c>
      <c r="Q118" s="24">
        <v>9997.52</v>
      </c>
      <c r="R118" s="24">
        <v>5122.47</v>
      </c>
      <c r="S118" s="24">
        <v>9427.31</v>
      </c>
      <c r="T118" s="24">
        <v>46529.99</v>
      </c>
      <c r="U118" s="24">
        <v>71786.899999999994</v>
      </c>
      <c r="V118" s="24">
        <v>-246004</v>
      </c>
      <c r="W118" s="24">
        <v>-397129</v>
      </c>
      <c r="X118" s="24">
        <v>159665</v>
      </c>
      <c r="Y118" s="24">
        <v>350310</v>
      </c>
      <c r="Z118" s="24">
        <v>64238</v>
      </c>
      <c r="AA118" s="24">
        <v>141350</v>
      </c>
      <c r="AB118" s="24">
        <v>8432</v>
      </c>
      <c r="AC118" s="24">
        <v>14241</v>
      </c>
      <c r="AD118" s="24">
        <v>3999</v>
      </c>
      <c r="AE118" s="24">
        <v>14081</v>
      </c>
      <c r="AF118" s="24">
        <v>-14016</v>
      </c>
      <c r="AG118" s="24">
        <v>-29994</v>
      </c>
      <c r="AH118" s="24">
        <v>1298.46</v>
      </c>
      <c r="AI118" s="24">
        <v>2531.48</v>
      </c>
      <c r="AJ118" s="24">
        <v>107023.99</v>
      </c>
      <c r="AK118" s="24">
        <v>161034.84</v>
      </c>
      <c r="AL118" s="24">
        <v>-767</v>
      </c>
      <c r="AM118" s="24">
        <v>-1186</v>
      </c>
      <c r="AN118" s="24">
        <v>21235</v>
      </c>
      <c r="AO118" s="24">
        <v>39591</v>
      </c>
      <c r="AP118" s="24">
        <v>2188</v>
      </c>
      <c r="AQ118" s="24">
        <v>4206</v>
      </c>
      <c r="AR118" s="24">
        <v>139815</v>
      </c>
      <c r="AS118" s="24">
        <v>257929</v>
      </c>
      <c r="AT118" s="24">
        <v>19374</v>
      </c>
      <c r="AU118" s="24">
        <v>44251</v>
      </c>
      <c r="AV118" s="24">
        <v>173708</v>
      </c>
      <c r="AW118" s="24">
        <v>242349</v>
      </c>
      <c r="AX118" s="24">
        <v>4597</v>
      </c>
      <c r="AY118" s="24">
        <v>8242</v>
      </c>
      <c r="AZ118" s="24">
        <v>15399</v>
      </c>
      <c r="BA118" s="24">
        <v>27354</v>
      </c>
      <c r="BB118" s="24">
        <v>96231</v>
      </c>
      <c r="BC118" s="24">
        <v>207808</v>
      </c>
      <c r="BD118" s="24">
        <v>175357</v>
      </c>
      <c r="BE118" s="24">
        <v>406117</v>
      </c>
      <c r="BF118" s="24">
        <v>53186</v>
      </c>
      <c r="BG118" s="24">
        <v>121191</v>
      </c>
      <c r="BH118" s="24">
        <v>66104</v>
      </c>
      <c r="BI118" s="24">
        <v>140247</v>
      </c>
      <c r="BJ118" s="24">
        <v>50803</v>
      </c>
      <c r="BK118" s="24">
        <v>78375</v>
      </c>
      <c r="BL118" s="37">
        <f t="shared" si="14"/>
        <v>1280410.3500000001</v>
      </c>
      <c r="BM118" s="37">
        <f t="shared" si="14"/>
        <v>2240385.0499999998</v>
      </c>
    </row>
    <row r="119" spans="1:65" s="4" customFormat="1" x14ac:dyDescent="0.25">
      <c r="A119" s="26" t="s">
        <v>275</v>
      </c>
      <c r="B119" s="26">
        <v>29384</v>
      </c>
      <c r="C119" s="26">
        <v>53639</v>
      </c>
      <c r="D119" s="26">
        <v>52489</v>
      </c>
      <c r="E119" s="26">
        <v>105056</v>
      </c>
      <c r="F119" s="26">
        <v>401127</v>
      </c>
      <c r="G119" s="26">
        <v>408002</v>
      </c>
      <c r="H119" s="26">
        <v>217920</v>
      </c>
      <c r="I119" s="26">
        <v>393708</v>
      </c>
      <c r="J119" s="26">
        <v>115697</v>
      </c>
      <c r="K119" s="26">
        <v>213949</v>
      </c>
      <c r="L119" s="26">
        <v>109659</v>
      </c>
      <c r="M119" s="26">
        <v>202923</v>
      </c>
      <c r="N119" s="26">
        <v>133504</v>
      </c>
      <c r="O119" s="26">
        <v>261172</v>
      </c>
      <c r="P119" s="26">
        <v>22583.31</v>
      </c>
      <c r="Q119" s="26">
        <v>43289.07</v>
      </c>
      <c r="R119" s="26">
        <v>11050.14</v>
      </c>
      <c r="S119" s="26">
        <v>18490.27</v>
      </c>
      <c r="T119" s="26">
        <v>61383.93</v>
      </c>
      <c r="U119" s="26">
        <v>126438.57</v>
      </c>
      <c r="V119" s="26">
        <v>251128</v>
      </c>
      <c r="W119" s="26">
        <v>417547</v>
      </c>
      <c r="X119" s="26">
        <v>370596</v>
      </c>
      <c r="Y119" s="26">
        <v>732929</v>
      </c>
      <c r="Z119" s="26">
        <v>184129</v>
      </c>
      <c r="AA119" s="26">
        <v>324704</v>
      </c>
      <c r="AB119" s="26">
        <v>20123</v>
      </c>
      <c r="AC119" s="26">
        <v>36645</v>
      </c>
      <c r="AD119" s="26">
        <v>41908</v>
      </c>
      <c r="AE119" s="26">
        <v>78053</v>
      </c>
      <c r="AF119" s="26">
        <v>46104</v>
      </c>
      <c r="AG119" s="26">
        <v>87001</v>
      </c>
      <c r="AH119" s="26">
        <v>29567.84</v>
      </c>
      <c r="AI119" s="26">
        <v>56982.5</v>
      </c>
      <c r="AJ119" s="26">
        <v>373090.66</v>
      </c>
      <c r="AK119" s="26">
        <v>651939.18999999994</v>
      </c>
      <c r="AL119" s="26">
        <v>871</v>
      </c>
      <c r="AM119" s="26">
        <v>2639</v>
      </c>
      <c r="AN119" s="26">
        <v>74898</v>
      </c>
      <c r="AO119" s="26">
        <v>134985</v>
      </c>
      <c r="AP119" s="26">
        <v>11672</v>
      </c>
      <c r="AQ119" s="26">
        <v>21265</v>
      </c>
      <c r="AR119" s="26">
        <v>180569</v>
      </c>
      <c r="AS119" s="26">
        <v>315915</v>
      </c>
      <c r="AT119" s="26">
        <v>65325</v>
      </c>
      <c r="AU119" s="26">
        <v>120297</v>
      </c>
      <c r="AV119" s="26">
        <v>151590</v>
      </c>
      <c r="AW119" s="26">
        <v>260001</v>
      </c>
      <c r="AX119" s="26">
        <v>54422</v>
      </c>
      <c r="AY119" s="26">
        <v>91366</v>
      </c>
      <c r="AZ119" s="26">
        <v>303892</v>
      </c>
      <c r="BA119" s="26">
        <v>538302</v>
      </c>
      <c r="BB119" s="26">
        <v>213503</v>
      </c>
      <c r="BC119" s="26">
        <v>402074</v>
      </c>
      <c r="BD119" s="26">
        <v>709484</v>
      </c>
      <c r="BE119" s="26">
        <v>1513638</v>
      </c>
      <c r="BF119" s="26">
        <v>416186</v>
      </c>
      <c r="BG119" s="26">
        <v>731130</v>
      </c>
      <c r="BH119" s="26">
        <v>382505</v>
      </c>
      <c r="BI119" s="26">
        <v>743677</v>
      </c>
      <c r="BJ119" s="26">
        <v>79593</v>
      </c>
      <c r="BK119" s="26">
        <v>135294</v>
      </c>
      <c r="BL119" s="39">
        <f t="shared" si="14"/>
        <v>5115953.88</v>
      </c>
      <c r="BM119" s="39">
        <f t="shared" si="14"/>
        <v>9223050.5999999996</v>
      </c>
    </row>
    <row r="120" spans="1:65" x14ac:dyDescent="0.25">
      <c r="A120" s="24" t="s">
        <v>276</v>
      </c>
      <c r="B120" s="24">
        <v>34697</v>
      </c>
      <c r="C120" s="24">
        <v>26352</v>
      </c>
      <c r="D120" s="24">
        <v>76904</v>
      </c>
      <c r="E120" s="24">
        <v>65536</v>
      </c>
      <c r="F120" s="24">
        <v>2187</v>
      </c>
      <c r="G120" s="24">
        <v>65517</v>
      </c>
      <c r="H120" s="24">
        <v>405518</v>
      </c>
      <c r="I120" s="24">
        <v>414944</v>
      </c>
      <c r="J120" s="24">
        <v>172208</v>
      </c>
      <c r="K120" s="24">
        <v>151685</v>
      </c>
      <c r="L120" s="24">
        <v>250765</v>
      </c>
      <c r="M120" s="24">
        <v>249632</v>
      </c>
      <c r="N120" s="24">
        <v>242860</v>
      </c>
      <c r="O120" s="24">
        <v>230715</v>
      </c>
      <c r="P120" s="24">
        <v>10995.29</v>
      </c>
      <c r="Q120" s="24">
        <v>18156.189999999999</v>
      </c>
      <c r="R120" s="24">
        <v>12920</v>
      </c>
      <c r="S120" s="24">
        <v>12236.36</v>
      </c>
      <c r="T120" s="24">
        <v>146245.85</v>
      </c>
      <c r="U120" s="24">
        <v>143114.20000000001</v>
      </c>
      <c r="V120" s="24">
        <v>453954</v>
      </c>
      <c r="W120" s="24">
        <v>455360</v>
      </c>
      <c r="X120" s="24">
        <v>815808</v>
      </c>
      <c r="Y120" s="24">
        <v>800297</v>
      </c>
      <c r="Z120" s="24"/>
      <c r="AA120" s="24">
        <v>286916</v>
      </c>
      <c r="AB120" s="24">
        <v>45362</v>
      </c>
      <c r="AC120" s="24">
        <v>43725</v>
      </c>
      <c r="AD120" s="24">
        <v>77727</v>
      </c>
      <c r="AE120" s="24">
        <v>75568</v>
      </c>
      <c r="AF120" s="24">
        <v>78013</v>
      </c>
      <c r="AG120" s="24">
        <v>67345</v>
      </c>
      <c r="AH120" s="24">
        <v>50455.67</v>
      </c>
      <c r="AI120" s="24">
        <v>46775.85</v>
      </c>
      <c r="AJ120" s="24"/>
      <c r="AK120" s="24">
        <v>578921.94999999995</v>
      </c>
      <c r="AL120" s="24">
        <v>19421</v>
      </c>
      <c r="AM120" s="24">
        <v>20404</v>
      </c>
      <c r="AN120" s="24">
        <v>115666</v>
      </c>
      <c r="AO120" s="24">
        <v>108127</v>
      </c>
      <c r="AP120" s="24">
        <v>19378</v>
      </c>
      <c r="AQ120" s="24">
        <v>18122</v>
      </c>
      <c r="AR120" s="24">
        <v>230243</v>
      </c>
      <c r="AS120" s="24">
        <v>226604</v>
      </c>
      <c r="AT120" s="24">
        <v>124735</v>
      </c>
      <c r="AU120" s="24">
        <v>125926</v>
      </c>
      <c r="AV120" s="24">
        <v>309141</v>
      </c>
      <c r="AW120" s="24">
        <v>301094</v>
      </c>
      <c r="AX120" s="24">
        <v>89736</v>
      </c>
      <c r="AY120" s="24">
        <v>93050</v>
      </c>
      <c r="AZ120" s="24">
        <v>582991</v>
      </c>
      <c r="BA120" s="24">
        <v>617286</v>
      </c>
      <c r="BB120" s="24">
        <v>438916</v>
      </c>
      <c r="BC120" s="24">
        <v>445986</v>
      </c>
      <c r="BD120" s="24">
        <v>1418375</v>
      </c>
      <c r="BE120" s="24">
        <v>1332382</v>
      </c>
      <c r="BF120" s="24">
        <v>0</v>
      </c>
      <c r="BG120" s="24">
        <v>0</v>
      </c>
      <c r="BH120" s="24"/>
      <c r="BI120" s="24"/>
      <c r="BJ120" s="24">
        <v>102265</v>
      </c>
      <c r="BK120" s="24">
        <v>90172</v>
      </c>
      <c r="BL120" s="37">
        <f>SUM(B120+D120+F120+H120+J120+L120+N120+P120+R120+T120+V120+X120+Z120+AB120+AD120+AF120+AH120+AJ120+AL120+AN120+AP120+AR120+AT120+AV120+AX120+AZ120+BB120+BD120+BF120+BH120+BJ120)</f>
        <v>6327486.8100000005</v>
      </c>
      <c r="BM120" s="37">
        <f t="shared" si="14"/>
        <v>7111949.5499999998</v>
      </c>
    </row>
    <row r="121" spans="1:65" x14ac:dyDescent="0.25">
      <c r="A121" s="36" t="s">
        <v>277</v>
      </c>
      <c r="B121" s="24">
        <v>43626</v>
      </c>
      <c r="C121" s="24">
        <v>43626</v>
      </c>
      <c r="D121" s="24">
        <v>86642</v>
      </c>
      <c r="E121" s="24">
        <v>86642</v>
      </c>
      <c r="F121" s="24">
        <v>59459</v>
      </c>
      <c r="G121" s="24">
        <v>59459</v>
      </c>
      <c r="H121" s="24">
        <v>414405</v>
      </c>
      <c r="I121" s="24">
        <v>414405</v>
      </c>
      <c r="J121" s="24">
        <v>189551</v>
      </c>
      <c r="K121" s="24">
        <v>189551</v>
      </c>
      <c r="L121" s="24">
        <v>262419</v>
      </c>
      <c r="M121" s="24">
        <v>262420</v>
      </c>
      <c r="N121" s="24">
        <v>251244</v>
      </c>
      <c r="O121" s="24">
        <v>251244</v>
      </c>
      <c r="P121" s="24">
        <v>11291.66</v>
      </c>
      <c r="Q121" s="24">
        <v>21644.54</v>
      </c>
      <c r="R121" s="24">
        <v>16552.349999999999</v>
      </c>
      <c r="S121" s="24">
        <v>16552.349999999999</v>
      </c>
      <c r="T121" s="24">
        <v>140837.96</v>
      </c>
      <c r="U121" s="24">
        <v>140837.96</v>
      </c>
      <c r="V121" s="24">
        <v>-493271</v>
      </c>
      <c r="W121" s="24">
        <v>-493271</v>
      </c>
      <c r="X121" s="24">
        <v>802749</v>
      </c>
      <c r="Y121" s="24">
        <v>802749</v>
      </c>
      <c r="Z121" s="24">
        <v>29709</v>
      </c>
      <c r="AA121" s="24">
        <v>308769</v>
      </c>
      <c r="AB121" s="24">
        <v>48630</v>
      </c>
      <c r="AC121" s="24">
        <v>48630</v>
      </c>
      <c r="AD121" s="24">
        <v>82218</v>
      </c>
      <c r="AE121" s="24">
        <v>82218</v>
      </c>
      <c r="AF121" s="24">
        <v>-88356</v>
      </c>
      <c r="AG121" s="24">
        <v>-88356</v>
      </c>
      <c r="AH121" s="24">
        <v>54323.01</v>
      </c>
      <c r="AI121" s="24">
        <v>54323.01</v>
      </c>
      <c r="AJ121" s="24">
        <v>7383.78</v>
      </c>
      <c r="AK121" s="24">
        <v>583215.92000000004</v>
      </c>
      <c r="AL121" s="24">
        <v>-17608</v>
      </c>
      <c r="AM121" s="24">
        <v>-17608</v>
      </c>
      <c r="AN121" s="24">
        <v>127568</v>
      </c>
      <c r="AO121" s="24">
        <v>127568</v>
      </c>
      <c r="AP121" s="24">
        <v>22057</v>
      </c>
      <c r="AQ121" s="24">
        <v>22057</v>
      </c>
      <c r="AR121" s="24">
        <v>250033</v>
      </c>
      <c r="AS121" s="24">
        <v>250033</v>
      </c>
      <c r="AT121" s="24">
        <v>130675</v>
      </c>
      <c r="AU121" s="24">
        <v>130675</v>
      </c>
      <c r="AV121" s="24">
        <v>340720</v>
      </c>
      <c r="AW121" s="24">
        <v>340720</v>
      </c>
      <c r="AX121" s="24">
        <v>100562</v>
      </c>
      <c r="AY121" s="24">
        <v>100562</v>
      </c>
      <c r="AZ121" s="24">
        <v>607405</v>
      </c>
      <c r="BA121" s="24">
        <v>607405</v>
      </c>
      <c r="BB121" s="24">
        <v>440701</v>
      </c>
      <c r="BC121" s="24">
        <v>440701</v>
      </c>
      <c r="BD121" s="24">
        <v>1397012</v>
      </c>
      <c r="BE121" s="24">
        <v>1397012</v>
      </c>
      <c r="BF121" s="24">
        <v>38165</v>
      </c>
      <c r="BG121" s="24">
        <v>56863</v>
      </c>
      <c r="BH121" s="24"/>
      <c r="BI121" s="24"/>
      <c r="BJ121" s="24">
        <v>-128448</v>
      </c>
      <c r="BK121" s="24">
        <v>-128448</v>
      </c>
      <c r="BL121" s="37">
        <f>SUM(B121+D121+F121+H121+J121+L121+N121+P121+R121+T121+V121+X121+Z121+AB121+AD121+AF121+AH121+AJ121+AL121+AN121+AP121+AR121+AT121+AV121+AX121+AZ121+BB121+BD121+BF121+BH121+BJ121)</f>
        <v>5228255.76</v>
      </c>
      <c r="BM121" s="37">
        <f t="shared" si="14"/>
        <v>6112199.7799999993</v>
      </c>
    </row>
    <row r="122" spans="1:65" s="4" customFormat="1" x14ac:dyDescent="0.25">
      <c r="A122" s="26" t="s">
        <v>192</v>
      </c>
      <c r="B122" s="26">
        <v>20455</v>
      </c>
      <c r="C122" s="26">
        <v>36365</v>
      </c>
      <c r="D122" s="26">
        <v>42751</v>
      </c>
      <c r="E122" s="26">
        <v>83950</v>
      </c>
      <c r="F122" s="26">
        <v>343855</v>
      </c>
      <c r="G122" s="26">
        <v>414059</v>
      </c>
      <c r="H122" s="26">
        <v>209033</v>
      </c>
      <c r="I122" s="26">
        <v>394247</v>
      </c>
      <c r="J122" s="26">
        <v>98354</v>
      </c>
      <c r="K122" s="26">
        <v>176083</v>
      </c>
      <c r="L122" s="26">
        <v>98005</v>
      </c>
      <c r="M122" s="26">
        <v>190135</v>
      </c>
      <c r="N122" s="26">
        <v>125120</v>
      </c>
      <c r="O122" s="26">
        <v>240643</v>
      </c>
      <c r="P122" s="26">
        <v>22286.94</v>
      </c>
      <c r="Q122" s="26">
        <v>39800.720000000001</v>
      </c>
      <c r="R122" s="26">
        <v>7417.79</v>
      </c>
      <c r="S122" s="26">
        <v>14174.28</v>
      </c>
      <c r="T122" s="26">
        <v>66791.820000000007</v>
      </c>
      <c r="U122" s="26">
        <v>128714.8</v>
      </c>
      <c r="V122" s="26">
        <v>211810</v>
      </c>
      <c r="W122" s="26">
        <v>379635</v>
      </c>
      <c r="X122" s="26">
        <v>383655</v>
      </c>
      <c r="Y122" s="26">
        <v>730477</v>
      </c>
      <c r="Z122" s="26">
        <v>154420</v>
      </c>
      <c r="AA122" s="26">
        <v>302851</v>
      </c>
      <c r="AB122" s="26">
        <v>16855</v>
      </c>
      <c r="AC122" s="26">
        <v>31740</v>
      </c>
      <c r="AD122" s="26">
        <v>37418</v>
      </c>
      <c r="AE122" s="26">
        <v>71403</v>
      </c>
      <c r="AF122" s="26">
        <v>35761</v>
      </c>
      <c r="AG122" s="26">
        <v>65989</v>
      </c>
      <c r="AH122" s="26">
        <v>25700.5</v>
      </c>
      <c r="AI122" s="26">
        <v>49435.35</v>
      </c>
      <c r="AJ122" s="26">
        <v>365706.88</v>
      </c>
      <c r="AK122" s="26">
        <v>647645.22</v>
      </c>
      <c r="AL122" s="26">
        <v>2684</v>
      </c>
      <c r="AM122" s="26">
        <v>5435</v>
      </c>
      <c r="AN122" s="26">
        <v>62996</v>
      </c>
      <c r="AO122" s="26">
        <v>115544</v>
      </c>
      <c r="AP122" s="26">
        <v>8993</v>
      </c>
      <c r="AQ122" s="26">
        <v>17330</v>
      </c>
      <c r="AR122" s="26">
        <v>160779</v>
      </c>
      <c r="AS122" s="26">
        <v>292485</v>
      </c>
      <c r="AT122" s="26">
        <v>59385</v>
      </c>
      <c r="AU122" s="26">
        <v>115548</v>
      </c>
      <c r="AV122" s="26">
        <v>120011</v>
      </c>
      <c r="AW122" s="26">
        <v>220374</v>
      </c>
      <c r="AX122" s="26">
        <v>43596</v>
      </c>
      <c r="AY122" s="26">
        <v>83854</v>
      </c>
      <c r="AZ122" s="26">
        <v>279478</v>
      </c>
      <c r="BA122" s="26">
        <v>548184</v>
      </c>
      <c r="BB122" s="26">
        <v>211719</v>
      </c>
      <c r="BC122" s="26">
        <v>407359</v>
      </c>
      <c r="BD122" s="26">
        <v>730847</v>
      </c>
      <c r="BE122" s="26">
        <v>1449008</v>
      </c>
      <c r="BF122" s="26">
        <v>378021</v>
      </c>
      <c r="BG122" s="26">
        <v>674266</v>
      </c>
      <c r="BH122" s="26">
        <v>351797</v>
      </c>
      <c r="BI122" s="26">
        <v>686691</v>
      </c>
      <c r="BJ122" s="26">
        <v>53410</v>
      </c>
      <c r="BK122" s="26">
        <v>97018</v>
      </c>
      <c r="BL122" s="39">
        <f>SUM(B122+D122+F122+H122+J122+L122+N122+P122+R122+T122+V122+X122+Z122+AB122+AD122+AF122+AH122+AJ122+AL122+AN122+AP122+AR122+AT122+AV122+AX122+AZ122+BB122+BD122+BF122+BH122+BJ122)</f>
        <v>4729111.93</v>
      </c>
      <c r="BM122" s="39">
        <f t="shared" si="14"/>
        <v>8710443.370000001</v>
      </c>
    </row>
  </sheetData>
  <mergeCells count="352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70:C70"/>
    <mergeCell ref="D70:E70"/>
    <mergeCell ref="F70:G70"/>
    <mergeCell ref="H70:I70"/>
    <mergeCell ref="P37:Q37"/>
    <mergeCell ref="R37:S37"/>
    <mergeCell ref="T37:U37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V70:AW70"/>
    <mergeCell ref="AX70:AY70"/>
    <mergeCell ref="AZ70:BA70"/>
    <mergeCell ref="BB70:BC70"/>
    <mergeCell ref="P70:Q70"/>
    <mergeCell ref="R70:S70"/>
    <mergeCell ref="T70:U70"/>
    <mergeCell ref="BJ48:BK48"/>
    <mergeCell ref="BL48:BM48"/>
    <mergeCell ref="BD48:BE48"/>
    <mergeCell ref="BJ70:BK70"/>
    <mergeCell ref="BL70:BM70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BL59:BM59"/>
    <mergeCell ref="AT59:AU59"/>
    <mergeCell ref="AV59:AW59"/>
    <mergeCell ref="AX59:AY59"/>
    <mergeCell ref="AZ59:BA59"/>
    <mergeCell ref="BB59:BC59"/>
    <mergeCell ref="BD59:BE59"/>
    <mergeCell ref="BF59:BG59"/>
    <mergeCell ref="BH59:BI59"/>
    <mergeCell ref="BJ59:BK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x14ac:dyDescent="0.25"/>
  <cols>
    <col min="1" max="1" width="45.140625" style="3" customWidth="1"/>
    <col min="2" max="65" width="16" style="3" customWidth="1"/>
    <col min="66" max="16384" width="9.140625" style="3"/>
  </cols>
  <sheetData>
    <row r="1" spans="1:65" ht="18.75" x14ac:dyDescent="0.3">
      <c r="A1" s="1" t="s">
        <v>191</v>
      </c>
    </row>
    <row r="2" spans="1:65" x14ac:dyDescent="0.25">
      <c r="A2" s="2" t="s">
        <v>98</v>
      </c>
    </row>
    <row r="3" spans="1:65" x14ac:dyDescent="0.25">
      <c r="A3" s="8" t="s">
        <v>182</v>
      </c>
    </row>
    <row r="4" spans="1:65" x14ac:dyDescent="0.25">
      <c r="A4" s="38" t="s">
        <v>0</v>
      </c>
      <c r="B4" s="94" t="s">
        <v>1</v>
      </c>
      <c r="C4" s="95"/>
      <c r="D4" s="94" t="s">
        <v>232</v>
      </c>
      <c r="E4" s="95"/>
      <c r="F4" s="94" t="s">
        <v>2</v>
      </c>
      <c r="G4" s="95"/>
      <c r="H4" s="94" t="s">
        <v>3</v>
      </c>
      <c r="I4" s="95"/>
      <c r="J4" s="94" t="s">
        <v>241</v>
      </c>
      <c r="K4" s="95"/>
      <c r="L4" s="94" t="s">
        <v>233</v>
      </c>
      <c r="M4" s="95"/>
      <c r="N4" s="94" t="s">
        <v>246</v>
      </c>
      <c r="O4" s="95"/>
      <c r="P4" s="94" t="s">
        <v>5</v>
      </c>
      <c r="Q4" s="95"/>
      <c r="R4" s="94" t="s">
        <v>4</v>
      </c>
      <c r="S4" s="95"/>
      <c r="T4" s="94" t="s">
        <v>6</v>
      </c>
      <c r="U4" s="95"/>
      <c r="V4" s="94" t="s">
        <v>7</v>
      </c>
      <c r="W4" s="95"/>
      <c r="X4" s="94" t="s">
        <v>8</v>
      </c>
      <c r="Y4" s="95"/>
      <c r="Z4" s="94" t="s">
        <v>9</v>
      </c>
      <c r="AA4" s="95"/>
      <c r="AB4" s="94" t="s">
        <v>240</v>
      </c>
      <c r="AC4" s="95"/>
      <c r="AD4" s="94" t="s">
        <v>10</v>
      </c>
      <c r="AE4" s="95"/>
      <c r="AF4" s="94" t="s">
        <v>11</v>
      </c>
      <c r="AG4" s="95"/>
      <c r="AH4" s="94" t="s">
        <v>234</v>
      </c>
      <c r="AI4" s="95"/>
      <c r="AJ4" s="94" t="s">
        <v>12</v>
      </c>
      <c r="AK4" s="95"/>
      <c r="AL4" s="94" t="s">
        <v>235</v>
      </c>
      <c r="AM4" s="95"/>
      <c r="AN4" s="94" t="s">
        <v>300</v>
      </c>
      <c r="AO4" s="95"/>
      <c r="AP4" s="94" t="s">
        <v>236</v>
      </c>
      <c r="AQ4" s="95"/>
      <c r="AR4" s="94" t="s">
        <v>239</v>
      </c>
      <c r="AS4" s="95"/>
      <c r="AT4" s="94" t="s">
        <v>13</v>
      </c>
      <c r="AU4" s="95"/>
      <c r="AV4" s="94" t="s">
        <v>14</v>
      </c>
      <c r="AW4" s="95"/>
      <c r="AX4" s="94" t="s">
        <v>15</v>
      </c>
      <c r="AY4" s="95"/>
      <c r="AZ4" s="94" t="s">
        <v>16</v>
      </c>
      <c r="BA4" s="95"/>
      <c r="BB4" s="94" t="s">
        <v>17</v>
      </c>
      <c r="BC4" s="95"/>
      <c r="BD4" s="94" t="s">
        <v>237</v>
      </c>
      <c r="BE4" s="95"/>
      <c r="BF4" s="94" t="s">
        <v>238</v>
      </c>
      <c r="BG4" s="95"/>
      <c r="BH4" s="94" t="s">
        <v>18</v>
      </c>
      <c r="BI4" s="95"/>
      <c r="BJ4" s="94" t="s">
        <v>19</v>
      </c>
      <c r="BK4" s="95"/>
      <c r="BL4" s="96" t="s">
        <v>20</v>
      </c>
      <c r="BM4" s="97"/>
    </row>
    <row r="5" spans="1:65" ht="30" x14ac:dyDescent="0.25">
      <c r="A5" s="38"/>
      <c r="B5" s="34" t="s">
        <v>298</v>
      </c>
      <c r="C5" s="35" t="s">
        <v>299</v>
      </c>
      <c r="D5" s="34" t="s">
        <v>298</v>
      </c>
      <c r="E5" s="35" t="s">
        <v>299</v>
      </c>
      <c r="F5" s="34" t="s">
        <v>298</v>
      </c>
      <c r="G5" s="35" t="s">
        <v>299</v>
      </c>
      <c r="H5" s="34" t="s">
        <v>298</v>
      </c>
      <c r="I5" s="35" t="s">
        <v>299</v>
      </c>
      <c r="J5" s="34" t="s">
        <v>298</v>
      </c>
      <c r="K5" s="35" t="s">
        <v>299</v>
      </c>
      <c r="L5" s="34" t="s">
        <v>298</v>
      </c>
      <c r="M5" s="35" t="s">
        <v>299</v>
      </c>
      <c r="N5" s="34" t="s">
        <v>298</v>
      </c>
      <c r="O5" s="35" t="s">
        <v>299</v>
      </c>
      <c r="P5" s="34" t="s">
        <v>298</v>
      </c>
      <c r="Q5" s="35" t="s">
        <v>299</v>
      </c>
      <c r="R5" s="34" t="s">
        <v>298</v>
      </c>
      <c r="S5" s="35" t="s">
        <v>299</v>
      </c>
      <c r="T5" s="34" t="s">
        <v>298</v>
      </c>
      <c r="U5" s="35" t="s">
        <v>299</v>
      </c>
      <c r="V5" s="34" t="s">
        <v>298</v>
      </c>
      <c r="W5" s="35" t="s">
        <v>299</v>
      </c>
      <c r="X5" s="34" t="s">
        <v>298</v>
      </c>
      <c r="Y5" s="35" t="s">
        <v>299</v>
      </c>
      <c r="Z5" s="34" t="s">
        <v>298</v>
      </c>
      <c r="AA5" s="35" t="s">
        <v>299</v>
      </c>
      <c r="AB5" s="34" t="s">
        <v>298</v>
      </c>
      <c r="AC5" s="35" t="s">
        <v>299</v>
      </c>
      <c r="AD5" s="34" t="s">
        <v>298</v>
      </c>
      <c r="AE5" s="35" t="s">
        <v>299</v>
      </c>
      <c r="AF5" s="34" t="s">
        <v>298</v>
      </c>
      <c r="AG5" s="35" t="s">
        <v>299</v>
      </c>
      <c r="AH5" s="34" t="s">
        <v>298</v>
      </c>
      <c r="AI5" s="35" t="s">
        <v>299</v>
      </c>
      <c r="AJ5" s="34" t="s">
        <v>298</v>
      </c>
      <c r="AK5" s="35" t="s">
        <v>299</v>
      </c>
      <c r="AL5" s="34" t="s">
        <v>298</v>
      </c>
      <c r="AM5" s="35" t="s">
        <v>299</v>
      </c>
      <c r="AN5" s="34" t="s">
        <v>298</v>
      </c>
      <c r="AO5" s="35" t="s">
        <v>299</v>
      </c>
      <c r="AP5" s="34" t="s">
        <v>298</v>
      </c>
      <c r="AQ5" s="35" t="s">
        <v>299</v>
      </c>
      <c r="AR5" s="34" t="s">
        <v>298</v>
      </c>
      <c r="AS5" s="35" t="s">
        <v>299</v>
      </c>
      <c r="AT5" s="34" t="s">
        <v>298</v>
      </c>
      <c r="AU5" s="35" t="s">
        <v>299</v>
      </c>
      <c r="AV5" s="34" t="s">
        <v>298</v>
      </c>
      <c r="AW5" s="35" t="s">
        <v>299</v>
      </c>
      <c r="AX5" s="34" t="s">
        <v>298</v>
      </c>
      <c r="AY5" s="35" t="s">
        <v>299</v>
      </c>
      <c r="AZ5" s="34" t="s">
        <v>298</v>
      </c>
      <c r="BA5" s="35" t="s">
        <v>299</v>
      </c>
      <c r="BB5" s="34" t="s">
        <v>298</v>
      </c>
      <c r="BC5" s="35" t="s">
        <v>299</v>
      </c>
      <c r="BD5" s="34" t="s">
        <v>298</v>
      </c>
      <c r="BE5" s="35" t="s">
        <v>299</v>
      </c>
      <c r="BF5" s="34" t="s">
        <v>298</v>
      </c>
      <c r="BG5" s="35" t="s">
        <v>299</v>
      </c>
      <c r="BH5" s="34" t="s">
        <v>298</v>
      </c>
      <c r="BI5" s="35" t="s">
        <v>299</v>
      </c>
      <c r="BJ5" s="34" t="s">
        <v>298</v>
      </c>
      <c r="BK5" s="35" t="s">
        <v>299</v>
      </c>
      <c r="BL5" s="34" t="s">
        <v>298</v>
      </c>
      <c r="BM5" s="35" t="s">
        <v>299</v>
      </c>
    </row>
    <row r="6" spans="1:65" x14ac:dyDescent="0.25">
      <c r="A6" s="36" t="s">
        <v>278</v>
      </c>
      <c r="B6" s="24"/>
      <c r="C6" s="24"/>
      <c r="D6" s="24"/>
      <c r="E6" s="24"/>
      <c r="F6" s="24"/>
      <c r="G6" s="24"/>
      <c r="H6" s="24">
        <v>9565</v>
      </c>
      <c r="I6" s="24">
        <v>17450</v>
      </c>
      <c r="J6" s="24"/>
      <c r="K6" s="24"/>
      <c r="L6" s="24">
        <v>3872</v>
      </c>
      <c r="M6" s="24">
        <v>5786</v>
      </c>
      <c r="N6" s="24">
        <v>946</v>
      </c>
      <c r="O6" s="24">
        <v>1327</v>
      </c>
      <c r="P6" s="24"/>
      <c r="Q6" s="24"/>
      <c r="R6" s="24">
        <v>101.89</v>
      </c>
      <c r="S6" s="24">
        <v>177.59</v>
      </c>
      <c r="T6" s="24">
        <v>3200.13</v>
      </c>
      <c r="U6" s="24">
        <v>5485.17</v>
      </c>
      <c r="V6" s="24">
        <v>11345</v>
      </c>
      <c r="W6" s="24">
        <v>18818</v>
      </c>
      <c r="X6" s="24">
        <v>18586</v>
      </c>
      <c r="Y6" s="24">
        <v>38472</v>
      </c>
      <c r="Z6" s="24">
        <v>7536</v>
      </c>
      <c r="AA6" s="24">
        <v>11028</v>
      </c>
      <c r="AB6" s="24">
        <v>223</v>
      </c>
      <c r="AC6" s="24">
        <v>536</v>
      </c>
      <c r="AD6" s="24">
        <v>600</v>
      </c>
      <c r="AE6" s="24">
        <v>944</v>
      </c>
      <c r="AF6" s="24">
        <v>279</v>
      </c>
      <c r="AG6" s="24">
        <v>657</v>
      </c>
      <c r="AH6" s="24"/>
      <c r="AI6" s="24"/>
      <c r="AJ6" s="24">
        <v>26125.87</v>
      </c>
      <c r="AK6" s="24">
        <v>38978.300000000003</v>
      </c>
      <c r="AL6" s="24">
        <v>18</v>
      </c>
      <c r="AM6" s="24">
        <v>27</v>
      </c>
      <c r="AN6" s="24"/>
      <c r="AO6" s="24"/>
      <c r="AP6" s="24">
        <v>45</v>
      </c>
      <c r="AQ6" s="24">
        <v>91</v>
      </c>
      <c r="AR6" s="24">
        <v>4409</v>
      </c>
      <c r="AS6" s="24">
        <v>8762</v>
      </c>
      <c r="AT6" s="24">
        <v>1021</v>
      </c>
      <c r="AU6" s="24">
        <v>2451</v>
      </c>
      <c r="AV6" s="24">
        <v>13718</v>
      </c>
      <c r="AW6" s="24">
        <v>18595</v>
      </c>
      <c r="AX6" s="24">
        <v>781</v>
      </c>
      <c r="AY6" s="24">
        <v>1038</v>
      </c>
      <c r="AZ6" s="24"/>
      <c r="BA6" s="24"/>
      <c r="BB6" s="24">
        <v>9369</v>
      </c>
      <c r="BC6" s="24">
        <v>17799</v>
      </c>
      <c r="BD6" s="24"/>
      <c r="BE6" s="24">
        <v>108336</v>
      </c>
      <c r="BF6" s="24">
        <v>19608</v>
      </c>
      <c r="BG6" s="24">
        <v>34102</v>
      </c>
      <c r="BH6" s="24">
        <v>28306</v>
      </c>
      <c r="BI6" s="24">
        <v>56624</v>
      </c>
      <c r="BJ6" s="24">
        <v>931</v>
      </c>
      <c r="BK6" s="24">
        <v>1958</v>
      </c>
      <c r="BL6" s="37">
        <f>SUM(B6+D6+F6+H6+J6+L6+N6+P6+R6+T6+V6+X6+Z6+AB6+AD6+AF6+AH6+AJ6+AL6+AN6+AP6+AR6+AT6+AV6+AX6+AZ6+BB6+BD6+BF6+BH6+BJ6)</f>
        <v>160585.89000000001</v>
      </c>
      <c r="BM6" s="37">
        <f>SUM(C6+E6+G6+I6+K6+M6+O6+Q6+S6+U6+W6+Y6+AA6+AC6+AE6+AG6+AI6+AK6+AM6+AO6+AQ6+AS6+AU6+AW6+AY6+BA6+BC6+BE6+BG6+BI6+BK6)</f>
        <v>389442.06</v>
      </c>
    </row>
    <row r="7" spans="1:65" x14ac:dyDescent="0.25">
      <c r="A7" s="36" t="s">
        <v>279</v>
      </c>
      <c r="B7" s="24"/>
      <c r="C7" s="24"/>
      <c r="D7" s="24"/>
      <c r="E7" s="24"/>
      <c r="F7" s="24"/>
      <c r="G7" s="24"/>
      <c r="H7" s="24">
        <v>889</v>
      </c>
      <c r="I7" s="24">
        <v>948</v>
      </c>
      <c r="J7" s="24"/>
      <c r="K7" s="24"/>
      <c r="L7" s="24"/>
      <c r="M7" s="24">
        <v>0</v>
      </c>
      <c r="N7" s="24">
        <v>2692</v>
      </c>
      <c r="O7" s="24">
        <v>3853</v>
      </c>
      <c r="P7" s="24"/>
      <c r="Q7" s="24"/>
      <c r="R7" s="24">
        <v>2.7</v>
      </c>
      <c r="S7" s="24">
        <v>5.65</v>
      </c>
      <c r="T7" s="24">
        <v>479.75</v>
      </c>
      <c r="U7" s="24">
        <v>548.71</v>
      </c>
      <c r="V7" s="24">
        <v>972</v>
      </c>
      <c r="W7" s="24">
        <v>2769</v>
      </c>
      <c r="X7" s="24">
        <v>541</v>
      </c>
      <c r="Y7" s="24">
        <v>745</v>
      </c>
      <c r="Z7" s="24">
        <v>72</v>
      </c>
      <c r="AA7" s="24">
        <v>224</v>
      </c>
      <c r="AB7" s="24">
        <v>57</v>
      </c>
      <c r="AC7" s="24">
        <v>58</v>
      </c>
      <c r="AD7" s="24">
        <v>0</v>
      </c>
      <c r="AE7" s="24">
        <v>0</v>
      </c>
      <c r="AF7" s="24">
        <v>370</v>
      </c>
      <c r="AG7" s="24">
        <v>695</v>
      </c>
      <c r="AH7" s="24"/>
      <c r="AI7" s="24"/>
      <c r="AJ7" s="24">
        <v>776.04</v>
      </c>
      <c r="AK7" s="24">
        <v>2516.21</v>
      </c>
      <c r="AL7" s="24"/>
      <c r="AM7" s="24"/>
      <c r="AN7" s="24"/>
      <c r="AO7" s="24"/>
      <c r="AP7" s="24">
        <v>145</v>
      </c>
      <c r="AQ7" s="24">
        <v>167</v>
      </c>
      <c r="AR7" s="24">
        <v>157</v>
      </c>
      <c r="AS7" s="24">
        <v>340</v>
      </c>
      <c r="AT7" s="24">
        <v>367</v>
      </c>
      <c r="AU7" s="24">
        <v>623</v>
      </c>
      <c r="AV7" s="24"/>
      <c r="AW7" s="24">
        <v>0</v>
      </c>
      <c r="AX7" s="24"/>
      <c r="AY7" s="24">
        <v>0</v>
      </c>
      <c r="AZ7" s="24"/>
      <c r="BA7" s="24"/>
      <c r="BB7" s="24">
        <v>1105</v>
      </c>
      <c r="BC7" s="24">
        <v>1414</v>
      </c>
      <c r="BD7" s="24"/>
      <c r="BE7" s="24">
        <v>23865</v>
      </c>
      <c r="BF7" s="24">
        <v>1310</v>
      </c>
      <c r="BG7" s="24">
        <v>3397</v>
      </c>
      <c r="BH7" s="24">
        <v>242</v>
      </c>
      <c r="BI7" s="24">
        <v>2624</v>
      </c>
      <c r="BJ7" s="24">
        <v>78</v>
      </c>
      <c r="BK7" s="24">
        <v>81</v>
      </c>
      <c r="BL7" s="37">
        <f t="shared" ref="BL7:BM12" si="0">SUM(B7+D7+F7+H7+J7+L7+N7+P7+R7+T7+V7+X7+Z7+AB7+AD7+AF7+AH7+AJ7+AL7+AN7+AP7+AR7+AT7+AV7+AX7+AZ7+BB7+BD7+BF7+BH7+BJ7)</f>
        <v>10255.49</v>
      </c>
      <c r="BM7" s="37">
        <f t="shared" si="0"/>
        <v>44873.57</v>
      </c>
    </row>
    <row r="8" spans="1:65" x14ac:dyDescent="0.25">
      <c r="A8" s="36" t="s">
        <v>280</v>
      </c>
      <c r="B8" s="24"/>
      <c r="C8" s="24"/>
      <c r="D8" s="24"/>
      <c r="E8" s="24"/>
      <c r="F8" s="24"/>
      <c r="G8" s="24"/>
      <c r="H8" s="24">
        <v>-8612</v>
      </c>
      <c r="I8" s="24">
        <v>-14751</v>
      </c>
      <c r="J8" s="24"/>
      <c r="K8" s="24"/>
      <c r="L8" s="24">
        <v>1629</v>
      </c>
      <c r="M8" s="24">
        <v>2647</v>
      </c>
      <c r="N8" s="24">
        <v>3135</v>
      </c>
      <c r="O8" s="24">
        <v>4389</v>
      </c>
      <c r="P8" s="24"/>
      <c r="Q8" s="24"/>
      <c r="R8" s="24">
        <v>96.2</v>
      </c>
      <c r="S8" s="24">
        <v>166.57</v>
      </c>
      <c r="T8" s="24">
        <v>2309.9699999999998</v>
      </c>
      <c r="U8" s="24">
        <v>3676.25</v>
      </c>
      <c r="V8" s="24">
        <v>-9500</v>
      </c>
      <c r="W8" s="24">
        <v>-15919</v>
      </c>
      <c r="X8" s="24">
        <v>12771</v>
      </c>
      <c r="Y8" s="24">
        <v>29095</v>
      </c>
      <c r="Z8" s="24">
        <v>5992</v>
      </c>
      <c r="AA8" s="24">
        <v>9018</v>
      </c>
      <c r="AB8" s="24">
        <v>225</v>
      </c>
      <c r="AC8" s="24">
        <v>444</v>
      </c>
      <c r="AD8" s="24">
        <v>356</v>
      </c>
      <c r="AE8" s="24">
        <v>486</v>
      </c>
      <c r="AF8" s="24">
        <v>-475</v>
      </c>
      <c r="AG8" s="24">
        <v>-963</v>
      </c>
      <c r="AH8" s="24"/>
      <c r="AI8" s="24"/>
      <c r="AJ8" s="24">
        <v>5942.11</v>
      </c>
      <c r="AK8" s="24">
        <v>8229.4599999999991</v>
      </c>
      <c r="AL8" s="24">
        <v>-6</v>
      </c>
      <c r="AM8" s="24">
        <v>-7</v>
      </c>
      <c r="AN8" s="24"/>
      <c r="AO8" s="24"/>
      <c r="AP8" s="24">
        <v>153</v>
      </c>
      <c r="AQ8" s="24">
        <v>209</v>
      </c>
      <c r="AR8" s="24">
        <v>5012</v>
      </c>
      <c r="AS8" s="24">
        <v>7132</v>
      </c>
      <c r="AT8" s="24">
        <v>1025</v>
      </c>
      <c r="AU8" s="24">
        <v>2341</v>
      </c>
      <c r="AV8" s="24">
        <v>9358</v>
      </c>
      <c r="AW8" s="24">
        <v>12378</v>
      </c>
      <c r="AX8" s="24">
        <v>606</v>
      </c>
      <c r="AY8" s="24">
        <v>798</v>
      </c>
      <c r="AZ8" s="24"/>
      <c r="BA8" s="24"/>
      <c r="BB8" s="24">
        <v>6375</v>
      </c>
      <c r="BC8" s="24">
        <v>11780</v>
      </c>
      <c r="BD8" s="24"/>
      <c r="BE8" s="24">
        <v>31276</v>
      </c>
      <c r="BF8" s="24">
        <v>9190</v>
      </c>
      <c r="BG8" s="24">
        <v>15691</v>
      </c>
      <c r="BH8" s="24">
        <v>9305</v>
      </c>
      <c r="BI8" s="24">
        <v>20640</v>
      </c>
      <c r="BJ8" s="24">
        <v>218</v>
      </c>
      <c r="BK8" s="24">
        <v>620</v>
      </c>
      <c r="BL8" s="37">
        <f t="shared" si="0"/>
        <v>55105.279999999999</v>
      </c>
      <c r="BM8" s="37">
        <f t="shared" si="0"/>
        <v>129376.28</v>
      </c>
    </row>
    <row r="9" spans="1:65" s="4" customFormat="1" x14ac:dyDescent="0.25">
      <c r="A9" s="38" t="s">
        <v>281</v>
      </c>
      <c r="B9" s="26"/>
      <c r="C9" s="26"/>
      <c r="D9" s="26"/>
      <c r="E9" s="26"/>
      <c r="F9" s="26"/>
      <c r="G9" s="26"/>
      <c r="H9" s="26">
        <v>1841</v>
      </c>
      <c r="I9" s="26">
        <v>3647</v>
      </c>
      <c r="J9" s="26"/>
      <c r="K9" s="26"/>
      <c r="L9" s="26">
        <v>2243</v>
      </c>
      <c r="M9" s="26">
        <v>3139</v>
      </c>
      <c r="N9" s="26">
        <v>503</v>
      </c>
      <c r="O9" s="26">
        <v>791</v>
      </c>
      <c r="P9" s="26"/>
      <c r="Q9" s="26"/>
      <c r="R9" s="26">
        <v>8.39</v>
      </c>
      <c r="S9" s="26">
        <v>16.670000000000002</v>
      </c>
      <c r="T9" s="26">
        <v>1369.91</v>
      </c>
      <c r="U9" s="26">
        <v>2357.63</v>
      </c>
      <c r="V9" s="26">
        <v>2818</v>
      </c>
      <c r="W9" s="26">
        <v>5669</v>
      </c>
      <c r="X9" s="26">
        <v>6356</v>
      </c>
      <c r="Y9" s="26">
        <v>10122</v>
      </c>
      <c r="Z9" s="26">
        <v>1616</v>
      </c>
      <c r="AA9" s="26">
        <v>2234</v>
      </c>
      <c r="AB9" s="26">
        <v>55</v>
      </c>
      <c r="AC9" s="26">
        <v>150</v>
      </c>
      <c r="AD9" s="26">
        <v>243</v>
      </c>
      <c r="AE9" s="26">
        <v>458</v>
      </c>
      <c r="AF9" s="26">
        <v>174</v>
      </c>
      <c r="AG9" s="26">
        <v>389</v>
      </c>
      <c r="AH9" s="26"/>
      <c r="AI9" s="26"/>
      <c r="AJ9" s="26">
        <v>20959.8</v>
      </c>
      <c r="AK9" s="26">
        <v>33265.050000000003</v>
      </c>
      <c r="AL9" s="26">
        <v>12</v>
      </c>
      <c r="AM9" s="26">
        <v>20</v>
      </c>
      <c r="AN9" s="26"/>
      <c r="AO9" s="26"/>
      <c r="AP9" s="26">
        <v>37</v>
      </c>
      <c r="AQ9" s="26">
        <v>48</v>
      </c>
      <c r="AR9" s="26">
        <v>-445</v>
      </c>
      <c r="AS9" s="26">
        <v>1969</v>
      </c>
      <c r="AT9" s="26">
        <v>362</v>
      </c>
      <c r="AU9" s="26">
        <v>732</v>
      </c>
      <c r="AV9" s="26">
        <v>4359</v>
      </c>
      <c r="AW9" s="26">
        <v>6217</v>
      </c>
      <c r="AX9" s="26">
        <v>174</v>
      </c>
      <c r="AY9" s="26">
        <v>241</v>
      </c>
      <c r="AZ9" s="26"/>
      <c r="BA9" s="26"/>
      <c r="BB9" s="26">
        <v>4098</v>
      </c>
      <c r="BC9" s="26">
        <v>7433</v>
      </c>
      <c r="BD9" s="26"/>
      <c r="BE9" s="26">
        <v>100924</v>
      </c>
      <c r="BF9" s="26">
        <v>11727</v>
      </c>
      <c r="BG9" s="26">
        <v>21809</v>
      </c>
      <c r="BH9" s="26">
        <v>19242</v>
      </c>
      <c r="BI9" s="26">
        <v>38608</v>
      </c>
      <c r="BJ9" s="26">
        <v>790</v>
      </c>
      <c r="BK9" s="26">
        <v>1419</v>
      </c>
      <c r="BL9" s="39">
        <f t="shared" si="0"/>
        <v>78543.100000000006</v>
      </c>
      <c r="BM9" s="39">
        <f t="shared" si="0"/>
        <v>241658.35</v>
      </c>
    </row>
    <row r="10" spans="1:65" x14ac:dyDescent="0.25">
      <c r="A10" s="36" t="s">
        <v>282</v>
      </c>
      <c r="B10" s="24">
        <v>2</v>
      </c>
      <c r="C10" s="24">
        <v>2</v>
      </c>
      <c r="D10" s="24"/>
      <c r="E10" s="24"/>
      <c r="F10" s="24"/>
      <c r="G10" s="24"/>
      <c r="H10" s="24">
        <v>20624</v>
      </c>
      <c r="I10" s="24">
        <v>20624</v>
      </c>
      <c r="J10" s="24"/>
      <c r="K10" s="24"/>
      <c r="L10" s="24">
        <v>7465</v>
      </c>
      <c r="M10" s="24">
        <v>7465</v>
      </c>
      <c r="N10" s="24">
        <v>5620</v>
      </c>
      <c r="O10" s="24">
        <v>5620</v>
      </c>
      <c r="P10" s="24"/>
      <c r="Q10" s="24"/>
      <c r="R10" s="24">
        <v>798.21</v>
      </c>
      <c r="S10" s="24">
        <v>798.21</v>
      </c>
      <c r="T10" s="24">
        <v>15611.32</v>
      </c>
      <c r="U10" s="24">
        <v>15611.32</v>
      </c>
      <c r="V10" s="24">
        <v>30411</v>
      </c>
      <c r="W10" s="24">
        <v>30411</v>
      </c>
      <c r="X10" s="24">
        <v>62851</v>
      </c>
      <c r="Y10" s="24">
        <v>62851</v>
      </c>
      <c r="Z10" s="24">
        <v>555</v>
      </c>
      <c r="AA10" s="24">
        <v>14258</v>
      </c>
      <c r="AB10" s="24">
        <v>1202</v>
      </c>
      <c r="AC10" s="24">
        <v>1202</v>
      </c>
      <c r="AD10" s="24">
        <v>978</v>
      </c>
      <c r="AE10" s="24">
        <v>978</v>
      </c>
      <c r="AF10" s="24">
        <v>3279</v>
      </c>
      <c r="AG10" s="24">
        <v>3279</v>
      </c>
      <c r="AH10" s="24"/>
      <c r="AI10" s="24"/>
      <c r="AJ10" s="24">
        <v>-17574.400000000001</v>
      </c>
      <c r="AK10" s="24">
        <v>132756.35</v>
      </c>
      <c r="AL10" s="24">
        <v>289</v>
      </c>
      <c r="AM10" s="24">
        <v>288</v>
      </c>
      <c r="AN10" s="24"/>
      <c r="AO10" s="24"/>
      <c r="AP10" s="24">
        <v>300</v>
      </c>
      <c r="AQ10" s="24">
        <v>300</v>
      </c>
      <c r="AR10" s="24">
        <v>25624</v>
      </c>
      <c r="AS10" s="24">
        <v>25624</v>
      </c>
      <c r="AT10" s="24">
        <v>3441</v>
      </c>
      <c r="AU10" s="24">
        <v>3441</v>
      </c>
      <c r="AV10" s="24">
        <v>28109</v>
      </c>
      <c r="AW10" s="24">
        <v>28109</v>
      </c>
      <c r="AX10" s="24">
        <v>186</v>
      </c>
      <c r="AY10" s="24">
        <v>2637</v>
      </c>
      <c r="AZ10" s="24"/>
      <c r="BA10" s="24"/>
      <c r="BB10" s="24">
        <v>24502</v>
      </c>
      <c r="BC10" s="24">
        <v>24502</v>
      </c>
      <c r="BD10" s="24"/>
      <c r="BE10" s="24">
        <v>407526</v>
      </c>
      <c r="BF10" s="24">
        <v>2652</v>
      </c>
      <c r="BG10" s="24">
        <v>115794</v>
      </c>
      <c r="BH10" s="24"/>
      <c r="BI10" s="24"/>
      <c r="BJ10" s="24">
        <v>143</v>
      </c>
      <c r="BK10" s="24">
        <v>5138</v>
      </c>
      <c r="BL10" s="37">
        <f t="shared" si="0"/>
        <v>217068.13</v>
      </c>
      <c r="BM10" s="37">
        <f t="shared" si="0"/>
        <v>909214.88</v>
      </c>
    </row>
    <row r="11" spans="1:65" ht="15" customHeight="1" x14ac:dyDescent="0.25">
      <c r="A11" s="36" t="s">
        <v>283</v>
      </c>
      <c r="B11" s="24">
        <v>2</v>
      </c>
      <c r="C11" s="24">
        <v>2</v>
      </c>
      <c r="D11" s="24"/>
      <c r="E11" s="24"/>
      <c r="F11" s="24"/>
      <c r="G11" s="24"/>
      <c r="H11" s="24">
        <v>21190</v>
      </c>
      <c r="I11" s="24">
        <v>19243</v>
      </c>
      <c r="J11" s="24"/>
      <c r="K11" s="24"/>
      <c r="L11" s="24">
        <v>7201</v>
      </c>
      <c r="M11" s="24">
        <v>5729</v>
      </c>
      <c r="N11" s="24">
        <v>5558</v>
      </c>
      <c r="O11" s="24">
        <v>4934</v>
      </c>
      <c r="P11" s="24"/>
      <c r="Q11" s="24"/>
      <c r="R11" s="24">
        <v>699.35</v>
      </c>
      <c r="S11" s="24">
        <v>778.11</v>
      </c>
      <c r="T11" s="24">
        <v>13902.63</v>
      </c>
      <c r="U11" s="24">
        <v>13703.96</v>
      </c>
      <c r="V11" s="24">
        <v>-29999</v>
      </c>
      <c r="W11" s="24">
        <v>-27538</v>
      </c>
      <c r="X11" s="24">
        <v>62299</v>
      </c>
      <c r="Y11" s="24">
        <v>57366</v>
      </c>
      <c r="Z11" s="24"/>
      <c r="AA11" s="24">
        <v>11462</v>
      </c>
      <c r="AB11" s="24">
        <v>1060</v>
      </c>
      <c r="AC11" s="24">
        <v>994</v>
      </c>
      <c r="AD11" s="24">
        <v>1366</v>
      </c>
      <c r="AE11" s="24">
        <v>1319</v>
      </c>
      <c r="AF11" s="24">
        <v>-2888</v>
      </c>
      <c r="AG11" s="24">
        <v>-2510</v>
      </c>
      <c r="AH11" s="24"/>
      <c r="AI11" s="24"/>
      <c r="AJ11" s="24"/>
      <c r="AK11" s="24">
        <v>154717.39000000001</v>
      </c>
      <c r="AL11" s="24">
        <v>-252</v>
      </c>
      <c r="AM11" s="24">
        <v>-227</v>
      </c>
      <c r="AN11" s="24"/>
      <c r="AO11" s="24"/>
      <c r="AP11" s="24">
        <v>336</v>
      </c>
      <c r="AQ11" s="24">
        <v>307</v>
      </c>
      <c r="AR11" s="24">
        <v>21499</v>
      </c>
      <c r="AS11" s="24">
        <v>21580</v>
      </c>
      <c r="AT11" s="24">
        <v>2845</v>
      </c>
      <c r="AU11" s="24">
        <v>2979</v>
      </c>
      <c r="AV11" s="24">
        <v>29661</v>
      </c>
      <c r="AW11" s="24">
        <v>25146</v>
      </c>
      <c r="AX11" s="24"/>
      <c r="AY11" s="24">
        <v>2381</v>
      </c>
      <c r="AZ11" s="24"/>
      <c r="BA11" s="24"/>
      <c r="BB11" s="24">
        <v>22824</v>
      </c>
      <c r="BC11" s="24">
        <v>21473</v>
      </c>
      <c r="BD11" s="24"/>
      <c r="BE11" s="24">
        <v>416663</v>
      </c>
      <c r="BF11" s="24">
        <v>0</v>
      </c>
      <c r="BG11" s="24">
        <v>105717</v>
      </c>
      <c r="BH11" s="24"/>
      <c r="BI11" s="24"/>
      <c r="BJ11" s="24"/>
      <c r="BK11" s="24">
        <v>4399</v>
      </c>
      <c r="BL11" s="37">
        <f t="shared" si="0"/>
        <v>157303.97999999998</v>
      </c>
      <c r="BM11" s="37">
        <f t="shared" si="0"/>
        <v>840618.46</v>
      </c>
    </row>
    <row r="12" spans="1:65" s="4" customFormat="1" x14ac:dyDescent="0.25">
      <c r="A12" s="38" t="s">
        <v>284</v>
      </c>
      <c r="B12" s="26"/>
      <c r="C12" s="26"/>
      <c r="D12" s="26"/>
      <c r="E12" s="26"/>
      <c r="F12" s="26"/>
      <c r="G12" s="26"/>
      <c r="H12" s="26">
        <v>1276</v>
      </c>
      <c r="I12" s="26">
        <v>5028</v>
      </c>
      <c r="J12" s="26"/>
      <c r="K12" s="26"/>
      <c r="L12" s="26">
        <v>2508</v>
      </c>
      <c r="M12" s="26">
        <v>4875</v>
      </c>
      <c r="N12" s="26">
        <v>565</v>
      </c>
      <c r="O12" s="26">
        <v>1477</v>
      </c>
      <c r="P12" s="26"/>
      <c r="Q12" s="26"/>
      <c r="R12" s="26">
        <v>107.25</v>
      </c>
      <c r="S12" s="26">
        <v>36.770000000000003</v>
      </c>
      <c r="T12" s="26">
        <v>3078.61</v>
      </c>
      <c r="U12" s="26">
        <v>4264.99</v>
      </c>
      <c r="V12" s="26">
        <v>3230</v>
      </c>
      <c r="W12" s="26">
        <v>8542</v>
      </c>
      <c r="X12" s="26">
        <v>6908</v>
      </c>
      <c r="Y12" s="26">
        <v>15607</v>
      </c>
      <c r="Z12" s="26">
        <v>2171</v>
      </c>
      <c r="AA12" s="26">
        <v>5030</v>
      </c>
      <c r="AB12" s="26">
        <v>197</v>
      </c>
      <c r="AC12" s="26">
        <v>359</v>
      </c>
      <c r="AD12" s="26">
        <v>-145</v>
      </c>
      <c r="AE12" s="26">
        <v>117</v>
      </c>
      <c r="AF12" s="26">
        <v>565</v>
      </c>
      <c r="AG12" s="26">
        <v>1159</v>
      </c>
      <c r="AH12" s="26"/>
      <c r="AI12" s="26"/>
      <c r="AJ12" s="26">
        <v>3385.4</v>
      </c>
      <c r="AK12" s="26">
        <v>11304.01</v>
      </c>
      <c r="AL12" s="26">
        <v>49</v>
      </c>
      <c r="AM12" s="26">
        <v>81</v>
      </c>
      <c r="AN12" s="26"/>
      <c r="AO12" s="26"/>
      <c r="AP12" s="26">
        <v>1</v>
      </c>
      <c r="AQ12" s="26">
        <v>41</v>
      </c>
      <c r="AR12" s="26">
        <v>3680</v>
      </c>
      <c r="AS12" s="26">
        <v>6013</v>
      </c>
      <c r="AT12" s="26">
        <v>958</v>
      </c>
      <c r="AU12" s="26">
        <v>1194</v>
      </c>
      <c r="AV12" s="26">
        <v>2807</v>
      </c>
      <c r="AW12" s="26">
        <v>9180</v>
      </c>
      <c r="AX12" s="26">
        <v>360</v>
      </c>
      <c r="AY12" s="26">
        <v>496</v>
      </c>
      <c r="AZ12" s="26"/>
      <c r="BA12" s="26"/>
      <c r="BB12" s="26">
        <v>5776</v>
      </c>
      <c r="BC12" s="26">
        <v>10462</v>
      </c>
      <c r="BD12" s="26"/>
      <c r="BE12" s="26">
        <v>91788</v>
      </c>
      <c r="BF12" s="26">
        <v>14380</v>
      </c>
      <c r="BG12" s="26">
        <v>31885</v>
      </c>
      <c r="BH12" s="26">
        <v>6027</v>
      </c>
      <c r="BI12" s="26">
        <v>30564</v>
      </c>
      <c r="BJ12" s="26">
        <v>933</v>
      </c>
      <c r="BK12" s="26">
        <v>2158</v>
      </c>
      <c r="BL12" s="39">
        <f t="shared" si="0"/>
        <v>58817.26</v>
      </c>
      <c r="BM12" s="39">
        <f t="shared" si="0"/>
        <v>241661.77000000002</v>
      </c>
    </row>
    <row r="13" spans="1:65" x14ac:dyDescent="0.25">
      <c r="A13" s="2"/>
    </row>
    <row r="14" spans="1:65" x14ac:dyDescent="0.25">
      <c r="A14" s="8" t="s">
        <v>183</v>
      </c>
    </row>
    <row r="15" spans="1:65" x14ac:dyDescent="0.25">
      <c r="A15" s="38" t="s">
        <v>0</v>
      </c>
      <c r="B15" s="94" t="s">
        <v>1</v>
      </c>
      <c r="C15" s="95"/>
      <c r="D15" s="94" t="s">
        <v>232</v>
      </c>
      <c r="E15" s="95"/>
      <c r="F15" s="94" t="s">
        <v>2</v>
      </c>
      <c r="G15" s="95"/>
      <c r="H15" s="94" t="s">
        <v>3</v>
      </c>
      <c r="I15" s="95"/>
      <c r="J15" s="94" t="s">
        <v>241</v>
      </c>
      <c r="K15" s="95"/>
      <c r="L15" s="94" t="s">
        <v>233</v>
      </c>
      <c r="M15" s="95"/>
      <c r="N15" s="94" t="s">
        <v>246</v>
      </c>
      <c r="O15" s="95"/>
      <c r="P15" s="94" t="s">
        <v>5</v>
      </c>
      <c r="Q15" s="95"/>
      <c r="R15" s="94" t="s">
        <v>4</v>
      </c>
      <c r="S15" s="95"/>
      <c r="T15" s="94" t="s">
        <v>6</v>
      </c>
      <c r="U15" s="95"/>
      <c r="V15" s="94" t="s">
        <v>7</v>
      </c>
      <c r="W15" s="95"/>
      <c r="X15" s="94" t="s">
        <v>8</v>
      </c>
      <c r="Y15" s="95"/>
      <c r="Z15" s="94" t="s">
        <v>9</v>
      </c>
      <c r="AA15" s="95"/>
      <c r="AB15" s="94" t="s">
        <v>240</v>
      </c>
      <c r="AC15" s="95"/>
      <c r="AD15" s="94" t="s">
        <v>10</v>
      </c>
      <c r="AE15" s="95"/>
      <c r="AF15" s="94" t="s">
        <v>11</v>
      </c>
      <c r="AG15" s="95"/>
      <c r="AH15" s="94" t="s">
        <v>234</v>
      </c>
      <c r="AI15" s="95"/>
      <c r="AJ15" s="94" t="s">
        <v>12</v>
      </c>
      <c r="AK15" s="95"/>
      <c r="AL15" s="94" t="s">
        <v>235</v>
      </c>
      <c r="AM15" s="95"/>
      <c r="AN15" s="94" t="s">
        <v>300</v>
      </c>
      <c r="AO15" s="95"/>
      <c r="AP15" s="94" t="s">
        <v>236</v>
      </c>
      <c r="AQ15" s="95"/>
      <c r="AR15" s="94" t="s">
        <v>239</v>
      </c>
      <c r="AS15" s="95"/>
      <c r="AT15" s="94" t="s">
        <v>13</v>
      </c>
      <c r="AU15" s="95"/>
      <c r="AV15" s="94" t="s">
        <v>14</v>
      </c>
      <c r="AW15" s="95"/>
      <c r="AX15" s="94" t="s">
        <v>15</v>
      </c>
      <c r="AY15" s="95"/>
      <c r="AZ15" s="94" t="s">
        <v>16</v>
      </c>
      <c r="BA15" s="95"/>
      <c r="BB15" s="94" t="s">
        <v>17</v>
      </c>
      <c r="BC15" s="95"/>
      <c r="BD15" s="94" t="s">
        <v>237</v>
      </c>
      <c r="BE15" s="95"/>
      <c r="BF15" s="94" t="s">
        <v>238</v>
      </c>
      <c r="BG15" s="95"/>
      <c r="BH15" s="94" t="s">
        <v>18</v>
      </c>
      <c r="BI15" s="95"/>
      <c r="BJ15" s="94" t="s">
        <v>19</v>
      </c>
      <c r="BK15" s="95"/>
      <c r="BL15" s="96" t="s">
        <v>20</v>
      </c>
      <c r="BM15" s="97"/>
    </row>
    <row r="16" spans="1:65" ht="30" x14ac:dyDescent="0.25">
      <c r="A16" s="38"/>
      <c r="B16" s="34" t="s">
        <v>298</v>
      </c>
      <c r="C16" s="35" t="s">
        <v>299</v>
      </c>
      <c r="D16" s="34" t="s">
        <v>298</v>
      </c>
      <c r="E16" s="35" t="s">
        <v>299</v>
      </c>
      <c r="F16" s="34" t="s">
        <v>298</v>
      </c>
      <c r="G16" s="35" t="s">
        <v>299</v>
      </c>
      <c r="H16" s="34" t="s">
        <v>298</v>
      </c>
      <c r="I16" s="35" t="s">
        <v>299</v>
      </c>
      <c r="J16" s="34" t="s">
        <v>298</v>
      </c>
      <c r="K16" s="35" t="s">
        <v>299</v>
      </c>
      <c r="L16" s="34" t="s">
        <v>298</v>
      </c>
      <c r="M16" s="35" t="s">
        <v>299</v>
      </c>
      <c r="N16" s="34" t="s">
        <v>298</v>
      </c>
      <c r="O16" s="35" t="s">
        <v>299</v>
      </c>
      <c r="P16" s="34" t="s">
        <v>298</v>
      </c>
      <c r="Q16" s="35" t="s">
        <v>299</v>
      </c>
      <c r="R16" s="34" t="s">
        <v>298</v>
      </c>
      <c r="S16" s="35" t="s">
        <v>299</v>
      </c>
      <c r="T16" s="34" t="s">
        <v>298</v>
      </c>
      <c r="U16" s="35" t="s">
        <v>299</v>
      </c>
      <c r="V16" s="34" t="s">
        <v>298</v>
      </c>
      <c r="W16" s="35" t="s">
        <v>299</v>
      </c>
      <c r="X16" s="34" t="s">
        <v>298</v>
      </c>
      <c r="Y16" s="35" t="s">
        <v>299</v>
      </c>
      <c r="Z16" s="34" t="s">
        <v>298</v>
      </c>
      <c r="AA16" s="35" t="s">
        <v>299</v>
      </c>
      <c r="AB16" s="34" t="s">
        <v>298</v>
      </c>
      <c r="AC16" s="35" t="s">
        <v>299</v>
      </c>
      <c r="AD16" s="34" t="s">
        <v>298</v>
      </c>
      <c r="AE16" s="35" t="s">
        <v>299</v>
      </c>
      <c r="AF16" s="34" t="s">
        <v>298</v>
      </c>
      <c r="AG16" s="35" t="s">
        <v>299</v>
      </c>
      <c r="AH16" s="34" t="s">
        <v>298</v>
      </c>
      <c r="AI16" s="35" t="s">
        <v>299</v>
      </c>
      <c r="AJ16" s="34" t="s">
        <v>298</v>
      </c>
      <c r="AK16" s="35" t="s">
        <v>299</v>
      </c>
      <c r="AL16" s="34" t="s">
        <v>298</v>
      </c>
      <c r="AM16" s="35" t="s">
        <v>299</v>
      </c>
      <c r="AN16" s="34" t="s">
        <v>298</v>
      </c>
      <c r="AO16" s="35" t="s">
        <v>299</v>
      </c>
      <c r="AP16" s="34" t="s">
        <v>298</v>
      </c>
      <c r="AQ16" s="35" t="s">
        <v>299</v>
      </c>
      <c r="AR16" s="34" t="s">
        <v>298</v>
      </c>
      <c r="AS16" s="35" t="s">
        <v>299</v>
      </c>
      <c r="AT16" s="34" t="s">
        <v>298</v>
      </c>
      <c r="AU16" s="35" t="s">
        <v>299</v>
      </c>
      <c r="AV16" s="34" t="s">
        <v>298</v>
      </c>
      <c r="AW16" s="35" t="s">
        <v>299</v>
      </c>
      <c r="AX16" s="34" t="s">
        <v>298</v>
      </c>
      <c r="AY16" s="35" t="s">
        <v>299</v>
      </c>
      <c r="AZ16" s="34" t="s">
        <v>298</v>
      </c>
      <c r="BA16" s="35" t="s">
        <v>299</v>
      </c>
      <c r="BB16" s="34" t="s">
        <v>298</v>
      </c>
      <c r="BC16" s="35" t="s">
        <v>299</v>
      </c>
      <c r="BD16" s="34" t="s">
        <v>298</v>
      </c>
      <c r="BE16" s="35" t="s">
        <v>299</v>
      </c>
      <c r="BF16" s="34" t="s">
        <v>298</v>
      </c>
      <c r="BG16" s="35" t="s">
        <v>299</v>
      </c>
      <c r="BH16" s="34" t="s">
        <v>298</v>
      </c>
      <c r="BI16" s="35" t="s">
        <v>299</v>
      </c>
      <c r="BJ16" s="34" t="s">
        <v>298</v>
      </c>
      <c r="BK16" s="35" t="s">
        <v>299</v>
      </c>
      <c r="BL16" s="34" t="s">
        <v>298</v>
      </c>
      <c r="BM16" s="35" t="s">
        <v>299</v>
      </c>
    </row>
    <row r="17" spans="1:65" x14ac:dyDescent="0.25">
      <c r="A17" s="36" t="s">
        <v>278</v>
      </c>
      <c r="B17" s="24"/>
      <c r="C17" s="24"/>
      <c r="D17" s="24"/>
      <c r="E17" s="24"/>
      <c r="F17" s="24"/>
      <c r="G17" s="24"/>
      <c r="H17" s="24">
        <v>2488</v>
      </c>
      <c r="I17" s="24">
        <v>4592</v>
      </c>
      <c r="J17" s="24"/>
      <c r="K17" s="24"/>
      <c r="L17" s="24">
        <v>2295</v>
      </c>
      <c r="M17" s="24">
        <v>3585</v>
      </c>
      <c r="N17" s="24">
        <v>671</v>
      </c>
      <c r="O17" s="24">
        <v>853</v>
      </c>
      <c r="P17" s="24"/>
      <c r="Q17" s="24"/>
      <c r="R17" s="24">
        <v>46.37</v>
      </c>
      <c r="S17" s="24">
        <v>101.87</v>
      </c>
      <c r="T17" s="24">
        <v>4732.6899999999996</v>
      </c>
      <c r="U17" s="24">
        <v>6848.33</v>
      </c>
      <c r="V17" s="24">
        <v>3253</v>
      </c>
      <c r="W17" s="24">
        <v>13666</v>
      </c>
      <c r="X17" s="24">
        <v>10815</v>
      </c>
      <c r="Y17" s="24">
        <v>19330</v>
      </c>
      <c r="Z17" s="24">
        <v>4295</v>
      </c>
      <c r="AA17" s="24">
        <v>6611</v>
      </c>
      <c r="AB17" s="24">
        <v>381</v>
      </c>
      <c r="AC17" s="24">
        <v>420</v>
      </c>
      <c r="AD17" s="24">
        <v>1192</v>
      </c>
      <c r="AE17" s="24">
        <v>1656</v>
      </c>
      <c r="AF17" s="24">
        <v>694</v>
      </c>
      <c r="AG17" s="24">
        <v>863</v>
      </c>
      <c r="AH17" s="24"/>
      <c r="AI17" s="24"/>
      <c r="AJ17" s="24">
        <v>3166.08</v>
      </c>
      <c r="AK17" s="24">
        <v>7537.77</v>
      </c>
      <c r="AL17" s="24"/>
      <c r="AM17" s="24"/>
      <c r="AN17" s="24"/>
      <c r="AO17" s="24"/>
      <c r="AP17" s="24">
        <v>0</v>
      </c>
      <c r="AQ17" s="24">
        <v>0</v>
      </c>
      <c r="AR17" s="24">
        <v>2812</v>
      </c>
      <c r="AS17" s="24">
        <v>4440</v>
      </c>
      <c r="AT17" s="24">
        <v>653</v>
      </c>
      <c r="AU17" s="24">
        <v>1350</v>
      </c>
      <c r="AV17" s="24">
        <v>1834</v>
      </c>
      <c r="AW17" s="24">
        <v>2749</v>
      </c>
      <c r="AX17" s="24">
        <v>1</v>
      </c>
      <c r="AY17" s="24">
        <v>23</v>
      </c>
      <c r="AZ17" s="24"/>
      <c r="BA17" s="24"/>
      <c r="BB17" s="24">
        <v>9021</v>
      </c>
      <c r="BC17" s="24">
        <v>15886</v>
      </c>
      <c r="BD17" s="24"/>
      <c r="BE17" s="24">
        <v>35273</v>
      </c>
      <c r="BF17" s="24">
        <v>6359</v>
      </c>
      <c r="BG17" s="24">
        <v>13264</v>
      </c>
      <c r="BH17" s="24">
        <v>12176</v>
      </c>
      <c r="BI17" s="24">
        <v>24328</v>
      </c>
      <c r="BJ17" s="24">
        <v>444</v>
      </c>
      <c r="BK17" s="24">
        <v>804</v>
      </c>
      <c r="BL17" s="37">
        <f t="shared" ref="BL17:BM23" si="1">SUM(B17+D17+F17+H17+J17+L17+N17+P17+R17+T17+V17+X17+Z17+AB17+AD17+AF17+AH17+AJ17+AL17+AN17+AP17+AR17+AT17+AV17+AX17+AZ17+BB17+BD17+BF17+BH17+BJ17)</f>
        <v>67329.14</v>
      </c>
      <c r="BM17" s="37">
        <f t="shared" si="1"/>
        <v>164180.97</v>
      </c>
    </row>
    <row r="18" spans="1:65" x14ac:dyDescent="0.25">
      <c r="A18" s="36" t="s">
        <v>279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1.54</v>
      </c>
      <c r="U18" s="24">
        <v>40.65</v>
      </c>
      <c r="V18" s="24">
        <v>107</v>
      </c>
      <c r="W18" s="24">
        <v>184</v>
      </c>
      <c r="X18" s="24">
        <v>81</v>
      </c>
      <c r="Y18" s="24">
        <v>572</v>
      </c>
      <c r="Z18" s="24">
        <v>639</v>
      </c>
      <c r="AA18" s="24">
        <v>672</v>
      </c>
      <c r="AB18" s="24">
        <v>0</v>
      </c>
      <c r="AC18" s="24">
        <v>0</v>
      </c>
      <c r="AD18" s="24"/>
      <c r="AE18" s="24"/>
      <c r="AF18" s="24">
        <v>92</v>
      </c>
      <c r="AG18" s="24">
        <v>367</v>
      </c>
      <c r="AH18" s="24"/>
      <c r="AI18" s="24"/>
      <c r="AJ18" s="24">
        <v>240.89</v>
      </c>
      <c r="AK18" s="24">
        <v>296.60000000000002</v>
      </c>
      <c r="AL18" s="24"/>
      <c r="AM18" s="24"/>
      <c r="AN18" s="24"/>
      <c r="AO18" s="24"/>
      <c r="AP18" s="24"/>
      <c r="AQ18" s="24"/>
      <c r="AR18" s="24"/>
      <c r="AS18" s="24">
        <v>341</v>
      </c>
      <c r="AT18" s="24"/>
      <c r="AU18" s="24">
        <v>0</v>
      </c>
      <c r="AV18" s="24">
        <v>133</v>
      </c>
      <c r="AW18" s="24">
        <v>191</v>
      </c>
      <c r="AX18" s="24"/>
      <c r="AY18" s="24"/>
      <c r="AZ18" s="24"/>
      <c r="BA18" s="24"/>
      <c r="BB18" s="24">
        <v>6543</v>
      </c>
      <c r="BC18" s="24">
        <v>6543</v>
      </c>
      <c r="BD18" s="24"/>
      <c r="BE18" s="24">
        <v>2083</v>
      </c>
      <c r="BF18" s="24">
        <v>8</v>
      </c>
      <c r="BG18" s="24">
        <v>246</v>
      </c>
      <c r="BH18" s="24">
        <v>-78</v>
      </c>
      <c r="BI18" s="24">
        <v>-54</v>
      </c>
      <c r="BJ18" s="24"/>
      <c r="BK18" s="24"/>
      <c r="BL18" s="37">
        <f t="shared" si="1"/>
        <v>7767.43</v>
      </c>
      <c r="BM18" s="37">
        <f t="shared" si="1"/>
        <v>11482.25</v>
      </c>
    </row>
    <row r="19" spans="1:65" x14ac:dyDescent="0.25">
      <c r="A19" s="36" t="s">
        <v>280</v>
      </c>
      <c r="B19" s="24"/>
      <c r="C19" s="24"/>
      <c r="D19" s="24"/>
      <c r="E19" s="24"/>
      <c r="F19" s="24"/>
      <c r="G19" s="24"/>
      <c r="H19" s="24">
        <v>-354</v>
      </c>
      <c r="I19" s="24">
        <v>-682</v>
      </c>
      <c r="J19" s="24"/>
      <c r="K19" s="24"/>
      <c r="L19" s="24">
        <v>1722</v>
      </c>
      <c r="M19" s="24">
        <v>2541</v>
      </c>
      <c r="N19" s="24">
        <v>609</v>
      </c>
      <c r="O19" s="24">
        <v>779</v>
      </c>
      <c r="P19" s="24"/>
      <c r="Q19" s="24"/>
      <c r="R19" s="24">
        <v>41.23</v>
      </c>
      <c r="S19" s="24" t="s">
        <v>318</v>
      </c>
      <c r="T19" s="24">
        <v>3272.04</v>
      </c>
      <c r="U19" s="24">
        <v>4125.51</v>
      </c>
      <c r="V19" s="24">
        <v>-304</v>
      </c>
      <c r="W19" s="24">
        <v>-8374</v>
      </c>
      <c r="X19" s="24">
        <v>2994</v>
      </c>
      <c r="Y19" s="24">
        <v>6662</v>
      </c>
      <c r="Z19" s="24">
        <v>2476</v>
      </c>
      <c r="AA19" s="24">
        <v>3466</v>
      </c>
      <c r="AB19" s="24">
        <v>308</v>
      </c>
      <c r="AC19" s="24">
        <v>340</v>
      </c>
      <c r="AD19" s="24">
        <v>56</v>
      </c>
      <c r="AE19" s="24">
        <v>78</v>
      </c>
      <c r="AF19" s="24">
        <v>-686</v>
      </c>
      <c r="AG19" s="24">
        <v>-1033</v>
      </c>
      <c r="AH19" s="24"/>
      <c r="AI19" s="24"/>
      <c r="AJ19" s="24">
        <v>438.52</v>
      </c>
      <c r="AK19" s="24">
        <v>4144.6499999999996</v>
      </c>
      <c r="AL19" s="24"/>
      <c r="AM19" s="24"/>
      <c r="AN19" s="24"/>
      <c r="AO19" s="24"/>
      <c r="AP19" s="24">
        <v>0</v>
      </c>
      <c r="AQ19" s="24">
        <v>0</v>
      </c>
      <c r="AR19" s="24">
        <v>2208</v>
      </c>
      <c r="AS19" s="24">
        <v>3767</v>
      </c>
      <c r="AT19" s="24">
        <v>325</v>
      </c>
      <c r="AU19" s="24">
        <v>625</v>
      </c>
      <c r="AV19" s="24">
        <v>144</v>
      </c>
      <c r="AW19" s="24">
        <v>235</v>
      </c>
      <c r="AX19" s="24">
        <v>1</v>
      </c>
      <c r="AY19" s="24">
        <v>14</v>
      </c>
      <c r="AZ19" s="24"/>
      <c r="BA19" s="24"/>
      <c r="BB19" s="24">
        <v>5916</v>
      </c>
      <c r="BC19" s="24">
        <v>6420</v>
      </c>
      <c r="BD19" s="24"/>
      <c r="BE19" s="24">
        <v>7821</v>
      </c>
      <c r="BF19" s="24">
        <v>1916</v>
      </c>
      <c r="BG19" s="24">
        <v>4531</v>
      </c>
      <c r="BH19" s="24">
        <v>7669</v>
      </c>
      <c r="BI19" s="24">
        <v>17645</v>
      </c>
      <c r="BJ19" s="24">
        <v>343</v>
      </c>
      <c r="BK19" s="24">
        <v>646</v>
      </c>
      <c r="BL19" s="37">
        <f t="shared" si="1"/>
        <v>29094.79</v>
      </c>
      <c r="BM19" s="37" t="e">
        <f t="shared" si="1"/>
        <v>#VALUE!</v>
      </c>
    </row>
    <row r="20" spans="1:65" s="4" customFormat="1" x14ac:dyDescent="0.25">
      <c r="A20" s="38" t="s">
        <v>281</v>
      </c>
      <c r="B20" s="26"/>
      <c r="C20" s="26"/>
      <c r="D20" s="26"/>
      <c r="E20" s="26"/>
      <c r="F20" s="26"/>
      <c r="G20" s="26"/>
      <c r="H20" s="26">
        <v>2133</v>
      </c>
      <c r="I20" s="26">
        <v>3910</v>
      </c>
      <c r="J20" s="26"/>
      <c r="K20" s="26"/>
      <c r="L20" s="26">
        <v>573</v>
      </c>
      <c r="M20" s="26">
        <v>1044</v>
      </c>
      <c r="N20" s="26">
        <v>62</v>
      </c>
      <c r="O20" s="26">
        <v>74</v>
      </c>
      <c r="P20" s="26"/>
      <c r="Q20" s="26"/>
      <c r="R20" s="26">
        <v>5.14</v>
      </c>
      <c r="S20" s="26">
        <v>9.44</v>
      </c>
      <c r="T20" s="26">
        <v>1462.18</v>
      </c>
      <c r="U20" s="26">
        <v>2763.47</v>
      </c>
      <c r="V20" s="26">
        <v>3057</v>
      </c>
      <c r="W20" s="26">
        <v>5476</v>
      </c>
      <c r="X20" s="26">
        <v>7902</v>
      </c>
      <c r="Y20" s="26">
        <v>13240</v>
      </c>
      <c r="Z20" s="26">
        <v>2458</v>
      </c>
      <c r="AA20" s="26">
        <v>3817</v>
      </c>
      <c r="AB20" s="26">
        <v>73</v>
      </c>
      <c r="AC20" s="26">
        <v>80</v>
      </c>
      <c r="AD20" s="26">
        <v>1136</v>
      </c>
      <c r="AE20" s="26">
        <v>1578</v>
      </c>
      <c r="AF20" s="26">
        <v>100</v>
      </c>
      <c r="AG20" s="26">
        <v>197</v>
      </c>
      <c r="AH20" s="26"/>
      <c r="AI20" s="26"/>
      <c r="AJ20" s="26">
        <v>2968.45</v>
      </c>
      <c r="AK20" s="26">
        <v>3689.72</v>
      </c>
      <c r="AL20" s="26"/>
      <c r="AM20" s="26"/>
      <c r="AN20" s="26"/>
      <c r="AO20" s="26"/>
      <c r="AP20" s="26">
        <v>0</v>
      </c>
      <c r="AQ20" s="26">
        <v>0</v>
      </c>
      <c r="AR20" s="26">
        <v>604</v>
      </c>
      <c r="AS20" s="26">
        <v>1014</v>
      </c>
      <c r="AT20" s="26">
        <v>328</v>
      </c>
      <c r="AU20" s="26">
        <v>726</v>
      </c>
      <c r="AV20" s="26">
        <v>1822</v>
      </c>
      <c r="AW20" s="26">
        <v>2704</v>
      </c>
      <c r="AX20" s="26">
        <v>0</v>
      </c>
      <c r="AY20" s="26">
        <v>9</v>
      </c>
      <c r="AZ20" s="26"/>
      <c r="BA20" s="26"/>
      <c r="BB20" s="26">
        <v>9647</v>
      </c>
      <c r="BC20" s="26">
        <v>16009</v>
      </c>
      <c r="BD20" s="26"/>
      <c r="BE20" s="26">
        <v>29535</v>
      </c>
      <c r="BF20" s="26">
        <v>4451</v>
      </c>
      <c r="BG20" s="26">
        <v>8979</v>
      </c>
      <c r="BH20" s="26">
        <v>4429</v>
      </c>
      <c r="BI20" s="26">
        <v>6629</v>
      </c>
      <c r="BJ20" s="26">
        <v>101</v>
      </c>
      <c r="BK20" s="26">
        <v>158</v>
      </c>
      <c r="BL20" s="39">
        <f t="shared" si="1"/>
        <v>43311.770000000004</v>
      </c>
      <c r="BM20" s="39">
        <f t="shared" si="1"/>
        <v>101641.63</v>
      </c>
    </row>
    <row r="21" spans="1:65" x14ac:dyDescent="0.25">
      <c r="A21" s="36" t="s">
        <v>282</v>
      </c>
      <c r="B21" s="24"/>
      <c r="C21" s="24"/>
      <c r="D21" s="24"/>
      <c r="E21" s="24"/>
      <c r="F21" s="24"/>
      <c r="G21" s="24"/>
      <c r="H21" s="24">
        <v>11330</v>
      </c>
      <c r="I21" s="24">
        <v>11330</v>
      </c>
      <c r="J21" s="24"/>
      <c r="K21" s="24"/>
      <c r="L21" s="24">
        <v>1740</v>
      </c>
      <c r="M21" s="24">
        <v>1740</v>
      </c>
      <c r="N21" s="24">
        <v>161</v>
      </c>
      <c r="O21" s="24">
        <v>161</v>
      </c>
      <c r="P21" s="24"/>
      <c r="Q21" s="24"/>
      <c r="R21" s="24">
        <v>65.91</v>
      </c>
      <c r="S21" s="24">
        <v>65.91</v>
      </c>
      <c r="T21" s="24">
        <v>4935.41</v>
      </c>
      <c r="U21" s="24">
        <v>4935.41</v>
      </c>
      <c r="V21" s="24">
        <v>12530</v>
      </c>
      <c r="W21" s="24">
        <v>12530</v>
      </c>
      <c r="X21" s="24">
        <v>27587</v>
      </c>
      <c r="Y21" s="24">
        <v>27587</v>
      </c>
      <c r="Z21" s="24">
        <v>16</v>
      </c>
      <c r="AA21" s="24">
        <v>9311</v>
      </c>
      <c r="AB21" s="24">
        <v>151</v>
      </c>
      <c r="AC21" s="24">
        <v>151</v>
      </c>
      <c r="AD21" s="24">
        <v>1454</v>
      </c>
      <c r="AE21" s="24">
        <v>1454</v>
      </c>
      <c r="AF21" s="24">
        <v>355</v>
      </c>
      <c r="AG21" s="24">
        <v>355</v>
      </c>
      <c r="AH21" s="24"/>
      <c r="AI21" s="24"/>
      <c r="AJ21" s="24">
        <v>-435.42</v>
      </c>
      <c r="AK21" s="24">
        <v>20837.34</v>
      </c>
      <c r="AL21" s="24"/>
      <c r="AM21" s="24"/>
      <c r="AN21" s="24"/>
      <c r="AO21" s="24"/>
      <c r="AP21" s="24">
        <v>2</v>
      </c>
      <c r="AQ21" s="24">
        <v>2</v>
      </c>
      <c r="AR21" s="24">
        <v>3214</v>
      </c>
      <c r="AS21" s="24">
        <v>3214</v>
      </c>
      <c r="AT21" s="24">
        <v>1849</v>
      </c>
      <c r="AU21" s="24">
        <v>1849</v>
      </c>
      <c r="AV21" s="24">
        <v>7403</v>
      </c>
      <c r="AW21" s="24">
        <v>7403</v>
      </c>
      <c r="AX21" s="24">
        <v>1</v>
      </c>
      <c r="AY21" s="24">
        <v>57</v>
      </c>
      <c r="AZ21" s="24"/>
      <c r="BA21" s="24"/>
      <c r="BB21" s="24">
        <v>32972</v>
      </c>
      <c r="BC21" s="24">
        <v>32972</v>
      </c>
      <c r="BD21" s="24"/>
      <c r="BE21" s="24">
        <v>42058</v>
      </c>
      <c r="BF21" s="24">
        <v>1754</v>
      </c>
      <c r="BG21" s="24">
        <v>29192</v>
      </c>
      <c r="BH21" s="24"/>
      <c r="BI21" s="24"/>
      <c r="BJ21" s="24">
        <v>32</v>
      </c>
      <c r="BK21" s="24">
        <v>379</v>
      </c>
      <c r="BL21" s="37">
        <f t="shared" si="1"/>
        <v>107116.9</v>
      </c>
      <c r="BM21" s="37">
        <f t="shared" si="1"/>
        <v>207583.66</v>
      </c>
    </row>
    <row r="22" spans="1:65" ht="15" customHeight="1" x14ac:dyDescent="0.25">
      <c r="A22" s="36" t="s">
        <v>283</v>
      </c>
      <c r="B22" s="24"/>
      <c r="C22" s="24"/>
      <c r="D22" s="24"/>
      <c r="E22" s="24"/>
      <c r="F22" s="24"/>
      <c r="G22" s="24"/>
      <c r="H22" s="24">
        <v>10054</v>
      </c>
      <c r="I22" s="24">
        <v>8689</v>
      </c>
      <c r="J22" s="24"/>
      <c r="K22" s="24"/>
      <c r="L22" s="24">
        <v>1318</v>
      </c>
      <c r="M22" s="24">
        <v>1112</v>
      </c>
      <c r="N22" s="24">
        <v>76</v>
      </c>
      <c r="O22" s="24">
        <v>29</v>
      </c>
      <c r="P22" s="24"/>
      <c r="Q22" s="24"/>
      <c r="R22" s="24">
        <v>65.69</v>
      </c>
      <c r="S22" s="24">
        <v>64.510000000000005</v>
      </c>
      <c r="T22" s="24">
        <v>3971.09</v>
      </c>
      <c r="U22" s="24">
        <v>3867.43</v>
      </c>
      <c r="V22" s="24">
        <v>-10043</v>
      </c>
      <c r="W22" s="24">
        <v>-7948</v>
      </c>
      <c r="X22" s="24">
        <v>27888</v>
      </c>
      <c r="Y22" s="24">
        <v>26154</v>
      </c>
      <c r="Z22" s="24"/>
      <c r="AA22" s="24">
        <v>8187</v>
      </c>
      <c r="AB22" s="24">
        <v>33</v>
      </c>
      <c r="AC22" s="24">
        <v>14</v>
      </c>
      <c r="AD22" s="24">
        <v>1255</v>
      </c>
      <c r="AE22" s="24">
        <v>1111</v>
      </c>
      <c r="AF22" s="24">
        <v>-337</v>
      </c>
      <c r="AG22" s="24">
        <v>-429</v>
      </c>
      <c r="AH22" s="24"/>
      <c r="AI22" s="24"/>
      <c r="AJ22" s="24"/>
      <c r="AK22" s="24">
        <v>25206.14</v>
      </c>
      <c r="AL22" s="24"/>
      <c r="AM22" s="24"/>
      <c r="AN22" s="24"/>
      <c r="AO22" s="24"/>
      <c r="AP22" s="24">
        <v>3</v>
      </c>
      <c r="AQ22" s="24">
        <v>4</v>
      </c>
      <c r="AR22" s="24">
        <v>3118</v>
      </c>
      <c r="AS22" s="24">
        <v>3162</v>
      </c>
      <c r="AT22" s="24">
        <v>1609</v>
      </c>
      <c r="AU22" s="24">
        <v>1629</v>
      </c>
      <c r="AV22" s="24">
        <v>5702</v>
      </c>
      <c r="AW22" s="24">
        <v>4647</v>
      </c>
      <c r="AX22" s="24"/>
      <c r="AY22" s="24">
        <v>60</v>
      </c>
      <c r="AZ22" s="24"/>
      <c r="BA22" s="24"/>
      <c r="BB22" s="24">
        <v>31721</v>
      </c>
      <c r="BC22" s="24">
        <v>29165</v>
      </c>
      <c r="BD22" s="24"/>
      <c r="BE22" s="24">
        <v>52745</v>
      </c>
      <c r="BF22" s="24">
        <v>0</v>
      </c>
      <c r="BG22" s="24">
        <v>26389</v>
      </c>
      <c r="BH22" s="24"/>
      <c r="BI22" s="24"/>
      <c r="BJ22" s="24"/>
      <c r="BK22" s="24">
        <v>387</v>
      </c>
      <c r="BL22" s="37">
        <f t="shared" si="1"/>
        <v>76433.78</v>
      </c>
      <c r="BM22" s="37">
        <f t="shared" si="1"/>
        <v>184245.08000000002</v>
      </c>
    </row>
    <row r="23" spans="1:65" s="4" customFormat="1" x14ac:dyDescent="0.25">
      <c r="A23" s="38" t="s">
        <v>284</v>
      </c>
      <c r="B23" s="26"/>
      <c r="C23" s="26"/>
      <c r="D23" s="26"/>
      <c r="E23" s="26"/>
      <c r="F23" s="26"/>
      <c r="G23" s="26"/>
      <c r="H23" s="26">
        <v>3409</v>
      </c>
      <c r="I23" s="26">
        <v>6550</v>
      </c>
      <c r="J23" s="26"/>
      <c r="K23" s="26"/>
      <c r="L23" s="26">
        <v>994</v>
      </c>
      <c r="M23" s="26">
        <v>1672</v>
      </c>
      <c r="N23" s="26">
        <v>147</v>
      </c>
      <c r="O23" s="26">
        <v>206</v>
      </c>
      <c r="P23" s="26"/>
      <c r="Q23" s="26"/>
      <c r="R23" s="26">
        <v>5.36</v>
      </c>
      <c r="S23" s="26">
        <v>10.84</v>
      </c>
      <c r="T23" s="26">
        <v>2426.5100000000002</v>
      </c>
      <c r="U23" s="26">
        <v>3831.45</v>
      </c>
      <c r="V23" s="26">
        <v>5544</v>
      </c>
      <c r="W23" s="26">
        <v>10058</v>
      </c>
      <c r="X23" s="26">
        <v>7601</v>
      </c>
      <c r="Y23" s="26">
        <v>14673</v>
      </c>
      <c r="Z23" s="26">
        <v>2474</v>
      </c>
      <c r="AA23" s="26">
        <v>4941</v>
      </c>
      <c r="AB23" s="26">
        <v>191</v>
      </c>
      <c r="AC23" s="26">
        <v>218</v>
      </c>
      <c r="AD23" s="26">
        <v>1335</v>
      </c>
      <c r="AE23" s="26">
        <v>1921</v>
      </c>
      <c r="AF23" s="26">
        <v>118</v>
      </c>
      <c r="AG23" s="26">
        <v>123</v>
      </c>
      <c r="AH23" s="26"/>
      <c r="AI23" s="26"/>
      <c r="AJ23" s="26">
        <v>2533.0300000000002</v>
      </c>
      <c r="AK23" s="26">
        <v>-679.09</v>
      </c>
      <c r="AL23" s="26"/>
      <c r="AM23" s="26"/>
      <c r="AN23" s="26"/>
      <c r="AO23" s="26"/>
      <c r="AP23" s="26">
        <v>0</v>
      </c>
      <c r="AQ23" s="26">
        <v>-1</v>
      </c>
      <c r="AR23" s="26">
        <v>700</v>
      </c>
      <c r="AS23" s="26">
        <v>1067</v>
      </c>
      <c r="AT23" s="26">
        <v>568</v>
      </c>
      <c r="AU23" s="26">
        <v>946</v>
      </c>
      <c r="AV23" s="26">
        <v>3524</v>
      </c>
      <c r="AW23" s="26">
        <v>5460</v>
      </c>
      <c r="AX23" s="26">
        <v>2</v>
      </c>
      <c r="AY23" s="26">
        <v>7</v>
      </c>
      <c r="AZ23" s="26"/>
      <c r="BA23" s="26"/>
      <c r="BB23" s="26">
        <v>10898</v>
      </c>
      <c r="BC23" s="26">
        <v>19816</v>
      </c>
      <c r="BD23" s="26"/>
      <c r="BE23" s="26">
        <v>18847</v>
      </c>
      <c r="BF23" s="26">
        <v>6204</v>
      </c>
      <c r="BG23" s="26">
        <v>11783</v>
      </c>
      <c r="BH23" s="26">
        <v>5668</v>
      </c>
      <c r="BI23" s="26">
        <v>9021</v>
      </c>
      <c r="BJ23" s="26">
        <v>133</v>
      </c>
      <c r="BK23" s="26">
        <v>151</v>
      </c>
      <c r="BL23" s="39">
        <f t="shared" si="1"/>
        <v>54474.899999999994</v>
      </c>
      <c r="BM23" s="39">
        <f t="shared" si="1"/>
        <v>110622.20000000001</v>
      </c>
    </row>
    <row r="24" spans="1:65" x14ac:dyDescent="0.25">
      <c r="A24" s="2"/>
    </row>
    <row r="25" spans="1:65" x14ac:dyDescent="0.25">
      <c r="A25" s="8" t="s">
        <v>184</v>
      </c>
    </row>
    <row r="26" spans="1:65" x14ac:dyDescent="0.25">
      <c r="A26" s="38" t="s">
        <v>0</v>
      </c>
      <c r="B26" s="94" t="s">
        <v>1</v>
      </c>
      <c r="C26" s="95"/>
      <c r="D26" s="94" t="s">
        <v>232</v>
      </c>
      <c r="E26" s="95"/>
      <c r="F26" s="94" t="s">
        <v>2</v>
      </c>
      <c r="G26" s="95"/>
      <c r="H26" s="94" t="s">
        <v>3</v>
      </c>
      <c r="I26" s="95"/>
      <c r="J26" s="94" t="s">
        <v>241</v>
      </c>
      <c r="K26" s="95"/>
      <c r="L26" s="94" t="s">
        <v>233</v>
      </c>
      <c r="M26" s="95"/>
      <c r="N26" s="94" t="s">
        <v>246</v>
      </c>
      <c r="O26" s="95"/>
      <c r="P26" s="94" t="s">
        <v>5</v>
      </c>
      <c r="Q26" s="95"/>
      <c r="R26" s="94" t="s">
        <v>4</v>
      </c>
      <c r="S26" s="95"/>
      <c r="T26" s="94" t="s">
        <v>6</v>
      </c>
      <c r="U26" s="95"/>
      <c r="V26" s="94" t="s">
        <v>7</v>
      </c>
      <c r="W26" s="95"/>
      <c r="X26" s="94" t="s">
        <v>8</v>
      </c>
      <c r="Y26" s="95"/>
      <c r="Z26" s="94" t="s">
        <v>9</v>
      </c>
      <c r="AA26" s="95"/>
      <c r="AB26" s="94" t="s">
        <v>240</v>
      </c>
      <c r="AC26" s="95"/>
      <c r="AD26" s="94" t="s">
        <v>10</v>
      </c>
      <c r="AE26" s="95"/>
      <c r="AF26" s="94" t="s">
        <v>11</v>
      </c>
      <c r="AG26" s="95"/>
      <c r="AH26" s="94" t="s">
        <v>234</v>
      </c>
      <c r="AI26" s="95"/>
      <c r="AJ26" s="94" t="s">
        <v>12</v>
      </c>
      <c r="AK26" s="95"/>
      <c r="AL26" s="94" t="s">
        <v>235</v>
      </c>
      <c r="AM26" s="95"/>
      <c r="AN26" s="94" t="s">
        <v>300</v>
      </c>
      <c r="AO26" s="95"/>
      <c r="AP26" s="94" t="s">
        <v>236</v>
      </c>
      <c r="AQ26" s="95"/>
      <c r="AR26" s="94" t="s">
        <v>239</v>
      </c>
      <c r="AS26" s="95"/>
      <c r="AT26" s="94" t="s">
        <v>13</v>
      </c>
      <c r="AU26" s="95"/>
      <c r="AV26" s="94" t="s">
        <v>14</v>
      </c>
      <c r="AW26" s="95"/>
      <c r="AX26" s="94" t="s">
        <v>15</v>
      </c>
      <c r="AY26" s="95"/>
      <c r="AZ26" s="94" t="s">
        <v>16</v>
      </c>
      <c r="BA26" s="95"/>
      <c r="BB26" s="94" t="s">
        <v>17</v>
      </c>
      <c r="BC26" s="95"/>
      <c r="BD26" s="94" t="s">
        <v>237</v>
      </c>
      <c r="BE26" s="95"/>
      <c r="BF26" s="94" t="s">
        <v>238</v>
      </c>
      <c r="BG26" s="95"/>
      <c r="BH26" s="94" t="s">
        <v>18</v>
      </c>
      <c r="BI26" s="95"/>
      <c r="BJ26" s="94" t="s">
        <v>19</v>
      </c>
      <c r="BK26" s="95"/>
      <c r="BL26" s="96" t="s">
        <v>20</v>
      </c>
      <c r="BM26" s="97"/>
    </row>
    <row r="27" spans="1:65" ht="30" x14ac:dyDescent="0.25">
      <c r="A27" s="38"/>
      <c r="B27" s="34" t="s">
        <v>298</v>
      </c>
      <c r="C27" s="35" t="s">
        <v>299</v>
      </c>
      <c r="D27" s="34" t="s">
        <v>298</v>
      </c>
      <c r="E27" s="35" t="s">
        <v>299</v>
      </c>
      <c r="F27" s="34" t="s">
        <v>298</v>
      </c>
      <c r="G27" s="35" t="s">
        <v>299</v>
      </c>
      <c r="H27" s="34" t="s">
        <v>298</v>
      </c>
      <c r="I27" s="35" t="s">
        <v>299</v>
      </c>
      <c r="J27" s="34" t="s">
        <v>298</v>
      </c>
      <c r="K27" s="35" t="s">
        <v>299</v>
      </c>
      <c r="L27" s="34" t="s">
        <v>298</v>
      </c>
      <c r="M27" s="35" t="s">
        <v>299</v>
      </c>
      <c r="N27" s="34" t="s">
        <v>298</v>
      </c>
      <c r="O27" s="35" t="s">
        <v>299</v>
      </c>
      <c r="P27" s="34" t="s">
        <v>298</v>
      </c>
      <c r="Q27" s="35" t="s">
        <v>299</v>
      </c>
      <c r="R27" s="34" t="s">
        <v>298</v>
      </c>
      <c r="S27" s="35" t="s">
        <v>299</v>
      </c>
      <c r="T27" s="34" t="s">
        <v>298</v>
      </c>
      <c r="U27" s="35" t="s">
        <v>299</v>
      </c>
      <c r="V27" s="34" t="s">
        <v>298</v>
      </c>
      <c r="W27" s="35" t="s">
        <v>299</v>
      </c>
      <c r="X27" s="34" t="s">
        <v>298</v>
      </c>
      <c r="Y27" s="35" t="s">
        <v>299</v>
      </c>
      <c r="Z27" s="34" t="s">
        <v>298</v>
      </c>
      <c r="AA27" s="35" t="s">
        <v>299</v>
      </c>
      <c r="AB27" s="34" t="s">
        <v>298</v>
      </c>
      <c r="AC27" s="35" t="s">
        <v>299</v>
      </c>
      <c r="AD27" s="34" t="s">
        <v>298</v>
      </c>
      <c r="AE27" s="35" t="s">
        <v>299</v>
      </c>
      <c r="AF27" s="34" t="s">
        <v>298</v>
      </c>
      <c r="AG27" s="35" t="s">
        <v>299</v>
      </c>
      <c r="AH27" s="34" t="s">
        <v>298</v>
      </c>
      <c r="AI27" s="35" t="s">
        <v>299</v>
      </c>
      <c r="AJ27" s="34" t="s">
        <v>298</v>
      </c>
      <c r="AK27" s="35" t="s">
        <v>299</v>
      </c>
      <c r="AL27" s="34" t="s">
        <v>298</v>
      </c>
      <c r="AM27" s="35" t="s">
        <v>299</v>
      </c>
      <c r="AN27" s="34" t="s">
        <v>298</v>
      </c>
      <c r="AO27" s="35" t="s">
        <v>299</v>
      </c>
      <c r="AP27" s="34" t="s">
        <v>298</v>
      </c>
      <c r="AQ27" s="35" t="s">
        <v>299</v>
      </c>
      <c r="AR27" s="34" t="s">
        <v>298</v>
      </c>
      <c r="AS27" s="35" t="s">
        <v>299</v>
      </c>
      <c r="AT27" s="34" t="s">
        <v>298</v>
      </c>
      <c r="AU27" s="35" t="s">
        <v>299</v>
      </c>
      <c r="AV27" s="34" t="s">
        <v>298</v>
      </c>
      <c r="AW27" s="35" t="s">
        <v>299</v>
      </c>
      <c r="AX27" s="34" t="s">
        <v>298</v>
      </c>
      <c r="AY27" s="35" t="s">
        <v>299</v>
      </c>
      <c r="AZ27" s="34" t="s">
        <v>298</v>
      </c>
      <c r="BA27" s="35" t="s">
        <v>299</v>
      </c>
      <c r="BB27" s="34" t="s">
        <v>298</v>
      </c>
      <c r="BC27" s="35" t="s">
        <v>299</v>
      </c>
      <c r="BD27" s="34" t="s">
        <v>298</v>
      </c>
      <c r="BE27" s="35" t="s">
        <v>299</v>
      </c>
      <c r="BF27" s="34" t="s">
        <v>298</v>
      </c>
      <c r="BG27" s="35" t="s">
        <v>299</v>
      </c>
      <c r="BH27" s="34" t="s">
        <v>298</v>
      </c>
      <c r="BI27" s="35" t="s">
        <v>299</v>
      </c>
      <c r="BJ27" s="34" t="s">
        <v>298</v>
      </c>
      <c r="BK27" s="35" t="s">
        <v>299</v>
      </c>
      <c r="BL27" s="34" t="s">
        <v>298</v>
      </c>
      <c r="BM27" s="35" t="s">
        <v>299</v>
      </c>
    </row>
    <row r="28" spans="1:65" x14ac:dyDescent="0.25">
      <c r="A28" s="36" t="s">
        <v>278</v>
      </c>
      <c r="B28" s="24">
        <v>8164</v>
      </c>
      <c r="C28" s="24">
        <v>13539</v>
      </c>
      <c r="D28" s="24"/>
      <c r="E28" s="24"/>
      <c r="F28" s="24"/>
      <c r="G28" s="24"/>
      <c r="H28" s="24">
        <v>64418</v>
      </c>
      <c r="I28" s="24">
        <v>117629</v>
      </c>
      <c r="J28" s="24"/>
      <c r="K28" s="24"/>
      <c r="L28" s="24">
        <v>49227</v>
      </c>
      <c r="M28" s="24">
        <v>84946</v>
      </c>
      <c r="N28" s="24">
        <v>24001</v>
      </c>
      <c r="O28" s="24">
        <v>-756</v>
      </c>
      <c r="P28" s="24"/>
      <c r="Q28" s="24"/>
      <c r="R28" s="24">
        <v>2439.35</v>
      </c>
      <c r="S28" s="24">
        <v>5046.1899999999996</v>
      </c>
      <c r="T28" s="24">
        <v>24130.42</v>
      </c>
      <c r="U28" s="24">
        <v>42896.27</v>
      </c>
      <c r="V28" s="24">
        <v>52033</v>
      </c>
      <c r="W28" s="24">
        <v>92455</v>
      </c>
      <c r="X28" s="24">
        <v>128581</v>
      </c>
      <c r="Y28" s="24">
        <v>235862</v>
      </c>
      <c r="Z28" s="24">
        <v>61685</v>
      </c>
      <c r="AA28" s="24">
        <v>111352</v>
      </c>
      <c r="AB28" s="24">
        <v>6619</v>
      </c>
      <c r="AC28" s="24">
        <v>12130</v>
      </c>
      <c r="AD28" s="24">
        <v>13362</v>
      </c>
      <c r="AE28" s="24">
        <v>24693</v>
      </c>
      <c r="AF28" s="24">
        <v>18095</v>
      </c>
      <c r="AG28" s="24">
        <v>30784</v>
      </c>
      <c r="AH28" s="24"/>
      <c r="AI28" s="24"/>
      <c r="AJ28" s="24">
        <v>131253.53</v>
      </c>
      <c r="AK28" s="24">
        <v>241924.52</v>
      </c>
      <c r="AL28" s="24">
        <v>411</v>
      </c>
      <c r="AM28" s="24">
        <v>977</v>
      </c>
      <c r="AN28" s="24"/>
      <c r="AO28" s="24"/>
      <c r="AP28" s="24">
        <v>5173</v>
      </c>
      <c r="AQ28" s="24">
        <v>9575</v>
      </c>
      <c r="AR28" s="24">
        <v>62185</v>
      </c>
      <c r="AS28" s="24">
        <v>114434</v>
      </c>
      <c r="AT28" s="24">
        <v>37521</v>
      </c>
      <c r="AU28" s="24">
        <v>68596</v>
      </c>
      <c r="AV28" s="24">
        <v>33142</v>
      </c>
      <c r="AW28" s="24">
        <v>107295</v>
      </c>
      <c r="AX28" s="24">
        <v>31433</v>
      </c>
      <c r="AY28" s="24">
        <v>52408</v>
      </c>
      <c r="AZ28" s="24"/>
      <c r="BA28" s="24"/>
      <c r="BB28" s="24">
        <v>66792</v>
      </c>
      <c r="BC28" s="24">
        <v>117990</v>
      </c>
      <c r="BD28" s="24"/>
      <c r="BE28" s="24">
        <v>398405</v>
      </c>
      <c r="BF28" s="24">
        <v>73404</v>
      </c>
      <c r="BG28" s="24">
        <v>131248</v>
      </c>
      <c r="BH28" s="24">
        <v>131808</v>
      </c>
      <c r="BI28" s="24">
        <v>230935</v>
      </c>
      <c r="BJ28" s="24">
        <v>29254</v>
      </c>
      <c r="BK28" s="24">
        <v>55611</v>
      </c>
      <c r="BL28" s="37">
        <f t="shared" ref="BL28:BM34" si="2">SUM(B28+D28+F28+H28+J28+L28+N28+P28+R28+T28+V28+X28+Z28+AB28+AD28+AF28+AH28+AJ28+AL28+AN28+AP28+AR28+AT28+AV28+AX28+AZ28+BB28+BD28+BF28+BH28+BJ28)</f>
        <v>1055131.3</v>
      </c>
      <c r="BM28" s="37">
        <f t="shared" si="2"/>
        <v>2299974.98</v>
      </c>
    </row>
    <row r="29" spans="1:65" x14ac:dyDescent="0.25">
      <c r="A29" s="36" t="s">
        <v>279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1047</v>
      </c>
      <c r="O29" s="24">
        <v>42683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>
        <v>51.09</v>
      </c>
      <c r="AK29" s="24">
        <v>61.71</v>
      </c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>
        <v>581</v>
      </c>
      <c r="BC29" s="24">
        <v>754</v>
      </c>
      <c r="BD29" s="24"/>
      <c r="BE29" s="24">
        <v>346</v>
      </c>
      <c r="BF29" s="24">
        <v>80</v>
      </c>
      <c r="BG29" s="24">
        <v>82</v>
      </c>
      <c r="BH29" s="24"/>
      <c r="BI29" s="24"/>
      <c r="BJ29" s="24"/>
      <c r="BK29" s="24"/>
      <c r="BL29" s="37">
        <f t="shared" si="2"/>
        <v>1759.09</v>
      </c>
      <c r="BM29" s="37">
        <f t="shared" si="2"/>
        <v>43926.71</v>
      </c>
    </row>
    <row r="30" spans="1:65" x14ac:dyDescent="0.25">
      <c r="A30" s="36" t="s">
        <v>280</v>
      </c>
      <c r="B30" s="24">
        <v>10495</v>
      </c>
      <c r="C30" s="24">
        <v>16025</v>
      </c>
      <c r="D30" s="24"/>
      <c r="E30" s="24"/>
      <c r="F30" s="24"/>
      <c r="G30" s="24"/>
      <c r="H30" s="24">
        <v>-7873</v>
      </c>
      <c r="I30" s="24">
        <v>-14339</v>
      </c>
      <c r="J30" s="24"/>
      <c r="K30" s="24"/>
      <c r="L30" s="24">
        <v>10764</v>
      </c>
      <c r="M30" s="24">
        <v>19948</v>
      </c>
      <c r="N30" s="24">
        <v>1425</v>
      </c>
      <c r="O30" s="24">
        <v>2689</v>
      </c>
      <c r="P30" s="24"/>
      <c r="Q30" s="24"/>
      <c r="R30" s="24">
        <v>653.82000000000005</v>
      </c>
      <c r="S30" s="24">
        <v>1314.13</v>
      </c>
      <c r="T30" s="24">
        <v>1889.01</v>
      </c>
      <c r="U30" s="24">
        <v>2884.69</v>
      </c>
      <c r="V30" s="24">
        <v>-2663</v>
      </c>
      <c r="W30" s="24">
        <v>-57772</v>
      </c>
      <c r="X30" s="24">
        <v>10199</v>
      </c>
      <c r="Y30" s="24">
        <v>18338</v>
      </c>
      <c r="Z30" s="24">
        <v>7247</v>
      </c>
      <c r="AA30" s="24">
        <v>14197</v>
      </c>
      <c r="AB30" s="24">
        <v>1605</v>
      </c>
      <c r="AC30" s="24">
        <v>2864</v>
      </c>
      <c r="AD30" s="24">
        <v>653</v>
      </c>
      <c r="AE30" s="24">
        <v>1200</v>
      </c>
      <c r="AF30" s="24">
        <v>-6842</v>
      </c>
      <c r="AG30" s="24">
        <v>-12624</v>
      </c>
      <c r="AH30" s="24"/>
      <c r="AI30" s="24"/>
      <c r="AJ30" s="24">
        <v>12711.45</v>
      </c>
      <c r="AK30" s="24">
        <v>23400.51</v>
      </c>
      <c r="AL30" s="24">
        <v>-22</v>
      </c>
      <c r="AM30" s="24">
        <v>-49</v>
      </c>
      <c r="AN30" s="24"/>
      <c r="AO30" s="24"/>
      <c r="AP30" s="24">
        <v>246</v>
      </c>
      <c r="AQ30" s="24">
        <v>463</v>
      </c>
      <c r="AR30" s="24">
        <v>20708</v>
      </c>
      <c r="AS30" s="24">
        <v>37755</v>
      </c>
      <c r="AT30" s="24">
        <v>6005</v>
      </c>
      <c r="AU30" s="24">
        <v>11532</v>
      </c>
      <c r="AV30" s="24">
        <v>8550</v>
      </c>
      <c r="AW30" s="24">
        <v>59575</v>
      </c>
      <c r="AX30" s="24">
        <v>2068</v>
      </c>
      <c r="AY30" s="24">
        <v>3396</v>
      </c>
      <c r="AZ30" s="24"/>
      <c r="BA30" s="24"/>
      <c r="BB30" s="24">
        <v>14727</v>
      </c>
      <c r="BC30" s="24">
        <v>26093</v>
      </c>
      <c r="BD30" s="24"/>
      <c r="BE30" s="24">
        <v>19796</v>
      </c>
      <c r="BF30" s="24">
        <v>4070</v>
      </c>
      <c r="BG30" s="24">
        <v>7304</v>
      </c>
      <c r="BH30" s="24">
        <v>6726</v>
      </c>
      <c r="BI30" s="24">
        <v>12082</v>
      </c>
      <c r="BJ30" s="24">
        <v>1487</v>
      </c>
      <c r="BK30" s="24">
        <v>3019</v>
      </c>
      <c r="BL30" s="37">
        <f t="shared" si="2"/>
        <v>104829.28</v>
      </c>
      <c r="BM30" s="37">
        <f t="shared" si="2"/>
        <v>199091.33000000002</v>
      </c>
    </row>
    <row r="31" spans="1:65" s="4" customFormat="1" x14ac:dyDescent="0.25">
      <c r="A31" s="38" t="s">
        <v>281</v>
      </c>
      <c r="B31" s="26">
        <v>-2331</v>
      </c>
      <c r="C31" s="26">
        <v>-2486</v>
      </c>
      <c r="D31" s="26"/>
      <c r="E31" s="26"/>
      <c r="F31" s="26"/>
      <c r="G31" s="26"/>
      <c r="H31" s="26">
        <v>56545</v>
      </c>
      <c r="I31" s="26">
        <v>103290</v>
      </c>
      <c r="J31" s="26"/>
      <c r="K31" s="26"/>
      <c r="L31" s="26">
        <v>38463</v>
      </c>
      <c r="M31" s="26">
        <v>64998</v>
      </c>
      <c r="N31" s="26">
        <v>23623</v>
      </c>
      <c r="O31" s="26">
        <v>39238</v>
      </c>
      <c r="P31" s="26"/>
      <c r="Q31" s="26"/>
      <c r="R31" s="26">
        <v>1785.53</v>
      </c>
      <c r="S31" s="26">
        <v>3732.06</v>
      </c>
      <c r="T31" s="26">
        <v>22241.41</v>
      </c>
      <c r="U31" s="26">
        <v>40011.57</v>
      </c>
      <c r="V31" s="26">
        <v>49371</v>
      </c>
      <c r="W31" s="26">
        <v>34683</v>
      </c>
      <c r="X31" s="26">
        <v>118382</v>
      </c>
      <c r="Y31" s="26">
        <v>217524</v>
      </c>
      <c r="Z31" s="26">
        <v>54438</v>
      </c>
      <c r="AA31" s="26">
        <v>97155</v>
      </c>
      <c r="AB31" s="26">
        <v>5014</v>
      </c>
      <c r="AC31" s="26">
        <v>9266</v>
      </c>
      <c r="AD31" s="26">
        <v>12709</v>
      </c>
      <c r="AE31" s="26">
        <v>23492</v>
      </c>
      <c r="AF31" s="26">
        <v>11253</v>
      </c>
      <c r="AG31" s="26">
        <v>18160</v>
      </c>
      <c r="AH31" s="26"/>
      <c r="AI31" s="26"/>
      <c r="AJ31" s="26">
        <v>118593.17</v>
      </c>
      <c r="AK31" s="26">
        <v>218585.72</v>
      </c>
      <c r="AL31" s="26">
        <v>389</v>
      </c>
      <c r="AM31" s="26">
        <v>928</v>
      </c>
      <c r="AN31" s="26"/>
      <c r="AO31" s="26"/>
      <c r="AP31" s="26">
        <v>4927</v>
      </c>
      <c r="AQ31" s="26">
        <v>9111</v>
      </c>
      <c r="AR31" s="26">
        <v>41477</v>
      </c>
      <c r="AS31" s="26">
        <v>76679</v>
      </c>
      <c r="AT31" s="26">
        <v>31516</v>
      </c>
      <c r="AU31" s="26">
        <v>57063</v>
      </c>
      <c r="AV31" s="26">
        <v>24592</v>
      </c>
      <c r="AW31" s="26">
        <v>47719</v>
      </c>
      <c r="AX31" s="26">
        <v>29365</v>
      </c>
      <c r="AY31" s="26">
        <v>49013</v>
      </c>
      <c r="AZ31" s="26"/>
      <c r="BA31" s="26"/>
      <c r="BB31" s="26">
        <v>52646</v>
      </c>
      <c r="BC31" s="26">
        <v>92651</v>
      </c>
      <c r="BD31" s="26"/>
      <c r="BE31" s="26">
        <v>378955</v>
      </c>
      <c r="BF31" s="26">
        <v>69414</v>
      </c>
      <c r="BG31" s="26">
        <v>124027</v>
      </c>
      <c r="BH31" s="26">
        <v>125082</v>
      </c>
      <c r="BI31" s="26">
        <v>218854</v>
      </c>
      <c r="BJ31" s="26">
        <v>27767</v>
      </c>
      <c r="BK31" s="26">
        <v>52593</v>
      </c>
      <c r="BL31" s="39">
        <f t="shared" si="2"/>
        <v>917262.11</v>
      </c>
      <c r="BM31" s="39">
        <f t="shared" si="2"/>
        <v>1975242.35</v>
      </c>
    </row>
    <row r="32" spans="1:65" x14ac:dyDescent="0.25">
      <c r="A32" s="36" t="s">
        <v>282</v>
      </c>
      <c r="B32" s="24">
        <v>27096</v>
      </c>
      <c r="C32" s="24">
        <v>27096</v>
      </c>
      <c r="D32" s="24"/>
      <c r="E32" s="24"/>
      <c r="F32" s="24"/>
      <c r="G32" s="24"/>
      <c r="H32" s="24">
        <v>1042954</v>
      </c>
      <c r="I32" s="24">
        <v>1042954</v>
      </c>
      <c r="J32" s="24"/>
      <c r="K32" s="24"/>
      <c r="L32" s="24">
        <v>730144</v>
      </c>
      <c r="M32" s="24">
        <v>730144</v>
      </c>
      <c r="N32" s="24">
        <v>457223</v>
      </c>
      <c r="O32" s="24">
        <v>457223</v>
      </c>
      <c r="P32" s="24"/>
      <c r="Q32" s="24"/>
      <c r="R32" s="24">
        <v>13554.53</v>
      </c>
      <c r="S32" s="24">
        <v>13554.53</v>
      </c>
      <c r="T32" s="24">
        <v>235215.76</v>
      </c>
      <c r="U32" s="24">
        <v>235215.76</v>
      </c>
      <c r="V32" s="24">
        <v>581399</v>
      </c>
      <c r="W32" s="24">
        <v>581399</v>
      </c>
      <c r="X32" s="24">
        <v>1626491</v>
      </c>
      <c r="Y32" s="24">
        <v>1626491</v>
      </c>
      <c r="Z32" s="24">
        <v>18655</v>
      </c>
      <c r="AA32" s="24">
        <v>699242</v>
      </c>
      <c r="AB32" s="24">
        <v>48415</v>
      </c>
      <c r="AC32" s="24">
        <v>48415</v>
      </c>
      <c r="AD32" s="24">
        <v>132899</v>
      </c>
      <c r="AE32" s="24">
        <v>132899</v>
      </c>
      <c r="AF32" s="24">
        <v>212813</v>
      </c>
      <c r="AG32" s="24">
        <v>212813</v>
      </c>
      <c r="AH32" s="24"/>
      <c r="AI32" s="24"/>
      <c r="AJ32" s="24">
        <v>-9246.5400000000009</v>
      </c>
      <c r="AK32" s="24">
        <v>1594485.01</v>
      </c>
      <c r="AL32" s="24">
        <v>13146</v>
      </c>
      <c r="AM32" s="24">
        <v>13147</v>
      </c>
      <c r="AN32" s="24"/>
      <c r="AO32" s="24"/>
      <c r="AP32" s="24">
        <v>35026</v>
      </c>
      <c r="AQ32" s="24">
        <v>35026</v>
      </c>
      <c r="AR32" s="24">
        <v>667789</v>
      </c>
      <c r="AS32" s="24">
        <v>667789</v>
      </c>
      <c r="AT32" s="24">
        <v>444597</v>
      </c>
      <c r="AU32" s="24">
        <v>444597</v>
      </c>
      <c r="AV32" s="24">
        <v>292451</v>
      </c>
      <c r="AW32" s="24">
        <v>292451</v>
      </c>
      <c r="AX32" s="24">
        <v>2373</v>
      </c>
      <c r="AY32" s="24">
        <v>761677</v>
      </c>
      <c r="AZ32" s="24"/>
      <c r="BA32" s="24"/>
      <c r="BB32" s="24">
        <v>820640</v>
      </c>
      <c r="BC32" s="24">
        <v>820640</v>
      </c>
      <c r="BD32" s="24"/>
      <c r="BE32" s="24">
        <v>2328789</v>
      </c>
      <c r="BF32" s="24">
        <v>20241</v>
      </c>
      <c r="BG32" s="24">
        <v>1324994</v>
      </c>
      <c r="BH32" s="24"/>
      <c r="BI32" s="24"/>
      <c r="BJ32" s="24">
        <v>-1616</v>
      </c>
      <c r="BK32" s="24">
        <v>141713</v>
      </c>
      <c r="BL32" s="37">
        <f t="shared" si="2"/>
        <v>7412259.75</v>
      </c>
      <c r="BM32" s="37">
        <f t="shared" si="2"/>
        <v>14232754.300000001</v>
      </c>
    </row>
    <row r="33" spans="1:65" ht="15" customHeight="1" x14ac:dyDescent="0.25">
      <c r="A33" s="36" t="s">
        <v>283</v>
      </c>
      <c r="B33" s="24">
        <v>18675</v>
      </c>
      <c r="C33" s="24">
        <v>16055</v>
      </c>
      <c r="D33" s="24"/>
      <c r="E33" s="24"/>
      <c r="F33" s="24"/>
      <c r="G33" s="24"/>
      <c r="H33" s="24">
        <v>1013799</v>
      </c>
      <c r="I33" s="24">
        <v>965442</v>
      </c>
      <c r="J33" s="24"/>
      <c r="K33" s="24"/>
      <c r="L33" s="24">
        <v>710787</v>
      </c>
      <c r="M33" s="24">
        <v>681332</v>
      </c>
      <c r="N33" s="24">
        <v>412632</v>
      </c>
      <c r="O33" s="24">
        <v>366245</v>
      </c>
      <c r="P33" s="24"/>
      <c r="Q33" s="24"/>
      <c r="R33" s="24">
        <v>12410.15</v>
      </c>
      <c r="S33" s="24">
        <v>11126.98</v>
      </c>
      <c r="T33" s="24">
        <v>232828.12</v>
      </c>
      <c r="U33" s="24">
        <v>224741.44</v>
      </c>
      <c r="V33" s="24">
        <v>-574707</v>
      </c>
      <c r="W33" s="24">
        <v>-511528</v>
      </c>
      <c r="X33" s="24">
        <v>1596247</v>
      </c>
      <c r="Y33" s="24">
        <v>1545247</v>
      </c>
      <c r="Z33" s="24"/>
      <c r="AA33" s="24">
        <v>650211</v>
      </c>
      <c r="AB33" s="24">
        <v>45698</v>
      </c>
      <c r="AC33" s="24">
        <v>42618</v>
      </c>
      <c r="AD33" s="24">
        <v>126295</v>
      </c>
      <c r="AE33" s="24">
        <v>119502</v>
      </c>
      <c r="AF33" s="24">
        <v>-203178</v>
      </c>
      <c r="AG33" s="24">
        <v>-191497</v>
      </c>
      <c r="AH33" s="24"/>
      <c r="AI33" s="24"/>
      <c r="AJ33" s="24">
        <v>0</v>
      </c>
      <c r="AK33" s="24">
        <v>1581208.33</v>
      </c>
      <c r="AL33" s="24">
        <v>-12614</v>
      </c>
      <c r="AM33" s="24">
        <v>-11799</v>
      </c>
      <c r="AN33" s="24"/>
      <c r="AO33" s="24"/>
      <c r="AP33" s="24">
        <v>33708</v>
      </c>
      <c r="AQ33" s="24">
        <v>31581</v>
      </c>
      <c r="AR33" s="24">
        <v>649061</v>
      </c>
      <c r="AS33" s="24">
        <v>623579</v>
      </c>
      <c r="AT33" s="24">
        <v>437769</v>
      </c>
      <c r="AU33" s="24">
        <v>424144</v>
      </c>
      <c r="AV33" s="24">
        <v>277584</v>
      </c>
      <c r="AW33" s="24">
        <v>260515</v>
      </c>
      <c r="AX33" s="24"/>
      <c r="AY33" s="24">
        <v>747485</v>
      </c>
      <c r="AZ33" s="24"/>
      <c r="BA33" s="24"/>
      <c r="BB33" s="24">
        <v>777151</v>
      </c>
      <c r="BC33" s="24">
        <v>725960</v>
      </c>
      <c r="BD33" s="24"/>
      <c r="BE33" s="24">
        <v>2257575</v>
      </c>
      <c r="BF33" s="24">
        <v>0</v>
      </c>
      <c r="BG33" s="24">
        <v>1263560</v>
      </c>
      <c r="BH33" s="24"/>
      <c r="BI33" s="24"/>
      <c r="BJ33" s="24"/>
      <c r="BK33" s="24">
        <v>146529</v>
      </c>
      <c r="BL33" s="37">
        <f t="shared" si="2"/>
        <v>5554145.2699999996</v>
      </c>
      <c r="BM33" s="37">
        <f t="shared" si="2"/>
        <v>11969832.75</v>
      </c>
    </row>
    <row r="34" spans="1:65" s="4" customFormat="1" x14ac:dyDescent="0.25">
      <c r="A34" s="38" t="s">
        <v>284</v>
      </c>
      <c r="B34" s="26">
        <v>6090</v>
      </c>
      <c r="C34" s="26">
        <v>8555</v>
      </c>
      <c r="D34" s="26"/>
      <c r="E34" s="26"/>
      <c r="F34" s="26"/>
      <c r="G34" s="26"/>
      <c r="H34" s="26">
        <v>85700</v>
      </c>
      <c r="I34" s="26">
        <v>180802</v>
      </c>
      <c r="J34" s="26"/>
      <c r="K34" s="26"/>
      <c r="L34" s="26">
        <v>57819</v>
      </c>
      <c r="M34" s="26">
        <v>113810</v>
      </c>
      <c r="N34" s="26">
        <v>68214</v>
      </c>
      <c r="O34" s="26">
        <v>130216</v>
      </c>
      <c r="P34" s="26"/>
      <c r="Q34" s="26"/>
      <c r="R34" s="26">
        <v>2929.91</v>
      </c>
      <c r="S34" s="26">
        <v>6159.61</v>
      </c>
      <c r="T34" s="26">
        <v>24629.05</v>
      </c>
      <c r="U34" s="26">
        <v>50485.89</v>
      </c>
      <c r="V34" s="26">
        <v>56064</v>
      </c>
      <c r="W34" s="26">
        <v>104554</v>
      </c>
      <c r="X34" s="26">
        <v>148626</v>
      </c>
      <c r="Y34" s="26">
        <v>298768</v>
      </c>
      <c r="Z34" s="26">
        <v>73093</v>
      </c>
      <c r="AA34" s="26">
        <v>146186</v>
      </c>
      <c r="AB34" s="26">
        <v>7731</v>
      </c>
      <c r="AC34" s="26">
        <v>15063</v>
      </c>
      <c r="AD34" s="26">
        <v>19313</v>
      </c>
      <c r="AE34" s="26">
        <v>36890</v>
      </c>
      <c r="AF34" s="26">
        <v>20888</v>
      </c>
      <c r="AG34" s="26">
        <v>39476</v>
      </c>
      <c r="AH34" s="26"/>
      <c r="AI34" s="26"/>
      <c r="AJ34" s="26">
        <v>109346.62</v>
      </c>
      <c r="AK34" s="26">
        <v>231862.39999999999</v>
      </c>
      <c r="AL34" s="26">
        <v>921</v>
      </c>
      <c r="AM34" s="26">
        <v>2276</v>
      </c>
      <c r="AN34" s="26"/>
      <c r="AO34" s="26"/>
      <c r="AP34" s="26">
        <v>6245</v>
      </c>
      <c r="AQ34" s="26">
        <v>12556</v>
      </c>
      <c r="AR34" s="26">
        <v>60205</v>
      </c>
      <c r="AS34" s="26">
        <v>120888</v>
      </c>
      <c r="AT34" s="26">
        <v>38343</v>
      </c>
      <c r="AU34" s="26">
        <v>77516</v>
      </c>
      <c r="AV34" s="26">
        <v>39459</v>
      </c>
      <c r="AW34" s="26">
        <v>79655</v>
      </c>
      <c r="AX34" s="26">
        <v>31738</v>
      </c>
      <c r="AY34" s="26">
        <v>63205</v>
      </c>
      <c r="AZ34" s="26"/>
      <c r="BA34" s="26"/>
      <c r="BB34" s="26">
        <v>96135</v>
      </c>
      <c r="BC34" s="26">
        <v>187331</v>
      </c>
      <c r="BD34" s="26"/>
      <c r="BE34" s="26">
        <v>450169</v>
      </c>
      <c r="BF34" s="26">
        <v>89656</v>
      </c>
      <c r="BG34" s="26">
        <v>185461</v>
      </c>
      <c r="BH34" s="26">
        <v>131064</v>
      </c>
      <c r="BI34" s="26">
        <v>268931</v>
      </c>
      <c r="BJ34" s="26">
        <v>26150</v>
      </c>
      <c r="BK34" s="26">
        <v>47777</v>
      </c>
      <c r="BL34" s="39">
        <f t="shared" si="2"/>
        <v>1200359.58</v>
      </c>
      <c r="BM34" s="39">
        <f t="shared" si="2"/>
        <v>2858592.9</v>
      </c>
    </row>
    <row r="35" spans="1:65" x14ac:dyDescent="0.25">
      <c r="A35" s="2"/>
    </row>
    <row r="36" spans="1:65" x14ac:dyDescent="0.25">
      <c r="A36" s="8" t="s">
        <v>186</v>
      </c>
    </row>
    <row r="37" spans="1:65" x14ac:dyDescent="0.25">
      <c r="A37" s="38" t="s">
        <v>0</v>
      </c>
      <c r="B37" s="94" t="s">
        <v>1</v>
      </c>
      <c r="C37" s="95"/>
      <c r="D37" s="94" t="s">
        <v>232</v>
      </c>
      <c r="E37" s="95"/>
      <c r="F37" s="94" t="s">
        <v>2</v>
      </c>
      <c r="G37" s="95"/>
      <c r="H37" s="94" t="s">
        <v>3</v>
      </c>
      <c r="I37" s="95"/>
      <c r="J37" s="94" t="s">
        <v>241</v>
      </c>
      <c r="K37" s="95"/>
      <c r="L37" s="94" t="s">
        <v>233</v>
      </c>
      <c r="M37" s="95"/>
      <c r="N37" s="94" t="s">
        <v>246</v>
      </c>
      <c r="O37" s="95"/>
      <c r="P37" s="94" t="s">
        <v>5</v>
      </c>
      <c r="Q37" s="95"/>
      <c r="R37" s="94" t="s">
        <v>4</v>
      </c>
      <c r="S37" s="95"/>
      <c r="T37" s="94" t="s">
        <v>6</v>
      </c>
      <c r="U37" s="95"/>
      <c r="V37" s="94" t="s">
        <v>7</v>
      </c>
      <c r="W37" s="95"/>
      <c r="X37" s="94" t="s">
        <v>8</v>
      </c>
      <c r="Y37" s="95"/>
      <c r="Z37" s="94" t="s">
        <v>9</v>
      </c>
      <c r="AA37" s="95"/>
      <c r="AB37" s="94" t="s">
        <v>240</v>
      </c>
      <c r="AC37" s="95"/>
      <c r="AD37" s="94" t="s">
        <v>10</v>
      </c>
      <c r="AE37" s="95"/>
      <c r="AF37" s="94" t="s">
        <v>11</v>
      </c>
      <c r="AG37" s="95"/>
      <c r="AH37" s="94" t="s">
        <v>234</v>
      </c>
      <c r="AI37" s="95"/>
      <c r="AJ37" s="94" t="s">
        <v>12</v>
      </c>
      <c r="AK37" s="95"/>
      <c r="AL37" s="94" t="s">
        <v>235</v>
      </c>
      <c r="AM37" s="95"/>
      <c r="AN37" s="94" t="s">
        <v>300</v>
      </c>
      <c r="AO37" s="95"/>
      <c r="AP37" s="94" t="s">
        <v>236</v>
      </c>
      <c r="AQ37" s="95"/>
      <c r="AR37" s="94" t="s">
        <v>239</v>
      </c>
      <c r="AS37" s="95"/>
      <c r="AT37" s="94" t="s">
        <v>13</v>
      </c>
      <c r="AU37" s="95"/>
      <c r="AV37" s="94" t="s">
        <v>14</v>
      </c>
      <c r="AW37" s="95"/>
      <c r="AX37" s="94" t="s">
        <v>15</v>
      </c>
      <c r="AY37" s="95"/>
      <c r="AZ37" s="94" t="s">
        <v>16</v>
      </c>
      <c r="BA37" s="95"/>
      <c r="BB37" s="94" t="s">
        <v>17</v>
      </c>
      <c r="BC37" s="95"/>
      <c r="BD37" s="94" t="s">
        <v>237</v>
      </c>
      <c r="BE37" s="95"/>
      <c r="BF37" s="94" t="s">
        <v>238</v>
      </c>
      <c r="BG37" s="95"/>
      <c r="BH37" s="94" t="s">
        <v>18</v>
      </c>
      <c r="BI37" s="95"/>
      <c r="BJ37" s="94" t="s">
        <v>19</v>
      </c>
      <c r="BK37" s="95"/>
      <c r="BL37" s="96" t="s">
        <v>20</v>
      </c>
      <c r="BM37" s="97"/>
    </row>
    <row r="38" spans="1:65" ht="30" x14ac:dyDescent="0.25">
      <c r="A38" s="38"/>
      <c r="B38" s="34" t="s">
        <v>298</v>
      </c>
      <c r="C38" s="35" t="s">
        <v>299</v>
      </c>
      <c r="D38" s="34" t="s">
        <v>298</v>
      </c>
      <c r="E38" s="35" t="s">
        <v>299</v>
      </c>
      <c r="F38" s="34" t="s">
        <v>298</v>
      </c>
      <c r="G38" s="35" t="s">
        <v>299</v>
      </c>
      <c r="H38" s="34" t="s">
        <v>298</v>
      </c>
      <c r="I38" s="35" t="s">
        <v>299</v>
      </c>
      <c r="J38" s="34" t="s">
        <v>298</v>
      </c>
      <c r="K38" s="35" t="s">
        <v>299</v>
      </c>
      <c r="L38" s="34" t="s">
        <v>298</v>
      </c>
      <c r="M38" s="35" t="s">
        <v>299</v>
      </c>
      <c r="N38" s="34" t="s">
        <v>298</v>
      </c>
      <c r="O38" s="35" t="s">
        <v>299</v>
      </c>
      <c r="P38" s="34" t="s">
        <v>298</v>
      </c>
      <c r="Q38" s="35" t="s">
        <v>299</v>
      </c>
      <c r="R38" s="34" t="s">
        <v>298</v>
      </c>
      <c r="S38" s="35" t="s">
        <v>299</v>
      </c>
      <c r="T38" s="34" t="s">
        <v>298</v>
      </c>
      <c r="U38" s="35" t="s">
        <v>299</v>
      </c>
      <c r="V38" s="34" t="s">
        <v>298</v>
      </c>
      <c r="W38" s="35" t="s">
        <v>299</v>
      </c>
      <c r="X38" s="34" t="s">
        <v>298</v>
      </c>
      <c r="Y38" s="35" t="s">
        <v>299</v>
      </c>
      <c r="Z38" s="34" t="s">
        <v>298</v>
      </c>
      <c r="AA38" s="35" t="s">
        <v>299</v>
      </c>
      <c r="AB38" s="34" t="s">
        <v>298</v>
      </c>
      <c r="AC38" s="35" t="s">
        <v>299</v>
      </c>
      <c r="AD38" s="34" t="s">
        <v>298</v>
      </c>
      <c r="AE38" s="35" t="s">
        <v>299</v>
      </c>
      <c r="AF38" s="34" t="s">
        <v>298</v>
      </c>
      <c r="AG38" s="35" t="s">
        <v>299</v>
      </c>
      <c r="AH38" s="34" t="s">
        <v>298</v>
      </c>
      <c r="AI38" s="35" t="s">
        <v>299</v>
      </c>
      <c r="AJ38" s="34" t="s">
        <v>298</v>
      </c>
      <c r="AK38" s="35" t="s">
        <v>299</v>
      </c>
      <c r="AL38" s="34" t="s">
        <v>298</v>
      </c>
      <c r="AM38" s="35" t="s">
        <v>299</v>
      </c>
      <c r="AN38" s="34" t="s">
        <v>298</v>
      </c>
      <c r="AO38" s="35" t="s">
        <v>299</v>
      </c>
      <c r="AP38" s="34" t="s">
        <v>298</v>
      </c>
      <c r="AQ38" s="35" t="s">
        <v>299</v>
      </c>
      <c r="AR38" s="34" t="s">
        <v>298</v>
      </c>
      <c r="AS38" s="35" t="s">
        <v>299</v>
      </c>
      <c r="AT38" s="34" t="s">
        <v>298</v>
      </c>
      <c r="AU38" s="35" t="s">
        <v>299</v>
      </c>
      <c r="AV38" s="34" t="s">
        <v>298</v>
      </c>
      <c r="AW38" s="35" t="s">
        <v>299</v>
      </c>
      <c r="AX38" s="34" t="s">
        <v>298</v>
      </c>
      <c r="AY38" s="35" t="s">
        <v>299</v>
      </c>
      <c r="AZ38" s="34" t="s">
        <v>298</v>
      </c>
      <c r="BA38" s="35" t="s">
        <v>299</v>
      </c>
      <c r="BB38" s="34" t="s">
        <v>298</v>
      </c>
      <c r="BC38" s="35" t="s">
        <v>299</v>
      </c>
      <c r="BD38" s="34" t="s">
        <v>298</v>
      </c>
      <c r="BE38" s="35" t="s">
        <v>299</v>
      </c>
      <c r="BF38" s="34" t="s">
        <v>298</v>
      </c>
      <c r="BG38" s="35" t="s">
        <v>299</v>
      </c>
      <c r="BH38" s="34" t="s">
        <v>298</v>
      </c>
      <c r="BI38" s="35" t="s">
        <v>299</v>
      </c>
      <c r="BJ38" s="34" t="s">
        <v>298</v>
      </c>
      <c r="BK38" s="35" t="s">
        <v>299</v>
      </c>
      <c r="BL38" s="34" t="s">
        <v>298</v>
      </c>
      <c r="BM38" s="35" t="s">
        <v>299</v>
      </c>
    </row>
    <row r="39" spans="1:65" x14ac:dyDescent="0.25">
      <c r="A39" s="36" t="s">
        <v>278</v>
      </c>
      <c r="B39" s="24">
        <v>11769</v>
      </c>
      <c r="C39" s="24">
        <v>19640</v>
      </c>
      <c r="D39" s="24">
        <v>29193</v>
      </c>
      <c r="E39" s="24">
        <v>54539</v>
      </c>
      <c r="F39" s="24"/>
      <c r="G39" s="24"/>
      <c r="H39" s="24">
        <v>61212</v>
      </c>
      <c r="I39" s="24">
        <v>133599</v>
      </c>
      <c r="J39" s="24">
        <v>48684</v>
      </c>
      <c r="K39" s="24">
        <v>97738</v>
      </c>
      <c r="L39" s="24">
        <v>9944</v>
      </c>
      <c r="M39" s="24">
        <v>18645</v>
      </c>
      <c r="N39" s="24">
        <v>7977</v>
      </c>
      <c r="O39" s="24">
        <v>13286</v>
      </c>
      <c r="P39" s="24"/>
      <c r="Q39" s="24"/>
      <c r="R39" s="24">
        <v>2257.33</v>
      </c>
      <c r="S39" s="24">
        <v>4558.7299999999996</v>
      </c>
      <c r="T39" s="24">
        <v>12135.6</v>
      </c>
      <c r="U39" s="24">
        <v>22187.3</v>
      </c>
      <c r="V39" s="24">
        <v>76870</v>
      </c>
      <c r="W39" s="24">
        <v>152734</v>
      </c>
      <c r="X39" s="24">
        <v>78688</v>
      </c>
      <c r="Y39" s="24">
        <v>144486</v>
      </c>
      <c r="Z39" s="24">
        <v>47499</v>
      </c>
      <c r="AA39" s="24">
        <v>93691</v>
      </c>
      <c r="AB39" s="24">
        <v>4522</v>
      </c>
      <c r="AC39" s="24">
        <v>7698</v>
      </c>
      <c r="AD39" s="24">
        <v>5192</v>
      </c>
      <c r="AE39" s="24">
        <v>9674</v>
      </c>
      <c r="AF39" s="24">
        <v>2051</v>
      </c>
      <c r="AG39" s="24">
        <v>3690</v>
      </c>
      <c r="AH39" s="24">
        <v>18178.11</v>
      </c>
      <c r="AI39" s="24">
        <v>33479.519999999997</v>
      </c>
      <c r="AJ39" s="24">
        <v>150469.23000000001</v>
      </c>
      <c r="AK39" s="24">
        <v>293917.13</v>
      </c>
      <c r="AL39" s="24">
        <v>779</v>
      </c>
      <c r="AM39" s="24">
        <v>1336</v>
      </c>
      <c r="AN39" s="24">
        <v>41835</v>
      </c>
      <c r="AO39" s="24">
        <v>77350</v>
      </c>
      <c r="AP39" s="24">
        <v>158</v>
      </c>
      <c r="AQ39" s="24">
        <v>272</v>
      </c>
      <c r="AR39" s="24">
        <v>22889</v>
      </c>
      <c r="AS39" s="24">
        <v>40128</v>
      </c>
      <c r="AT39" s="24">
        <v>6889</v>
      </c>
      <c r="AU39" s="24">
        <v>14271</v>
      </c>
      <c r="AV39" s="24">
        <v>30467</v>
      </c>
      <c r="AW39" s="24">
        <v>57658</v>
      </c>
      <c r="AX39" s="24"/>
      <c r="AY39" s="24"/>
      <c r="AZ39" s="24">
        <v>204264</v>
      </c>
      <c r="BA39" s="24">
        <v>386976</v>
      </c>
      <c r="BB39" s="24">
        <v>30522</v>
      </c>
      <c r="BC39" s="24">
        <v>52888</v>
      </c>
      <c r="BD39" s="24"/>
      <c r="BE39" s="24">
        <v>809455</v>
      </c>
      <c r="BF39" s="24">
        <v>219281</v>
      </c>
      <c r="BG39" s="24">
        <v>388161</v>
      </c>
      <c r="BH39" s="24">
        <v>162846</v>
      </c>
      <c r="BI39" s="24">
        <v>321742</v>
      </c>
      <c r="BJ39" s="24">
        <v>6466</v>
      </c>
      <c r="BK39" s="24">
        <v>12415</v>
      </c>
      <c r="BL39" s="37">
        <f t="shared" ref="BL39:BM45" si="3">SUM(B39+D39+F39+H39+J39+L39+N39+P39+R39+T39+V39+X39+Z39+AB39+AD39+AF39+AH39+AJ39+AL39+AN39+AP39+AR39+AT39+AV39+AX39+AZ39+BB39+BD39+BF39+BH39+BJ39)</f>
        <v>1293037.27</v>
      </c>
      <c r="BM39" s="37">
        <f t="shared" si="3"/>
        <v>3266214.68</v>
      </c>
    </row>
    <row r="40" spans="1:65" x14ac:dyDescent="0.25">
      <c r="A40" s="36" t="s">
        <v>279</v>
      </c>
      <c r="B40" s="24"/>
      <c r="C40" s="24"/>
      <c r="D40" s="24"/>
      <c r="E40" s="24"/>
      <c r="F40" s="24"/>
      <c r="G40" s="24"/>
      <c r="H40" s="24"/>
      <c r="I40" s="24">
        <v>0</v>
      </c>
      <c r="J40" s="24">
        <v>2550</v>
      </c>
      <c r="K40" s="24">
        <v>4439</v>
      </c>
      <c r="L40" s="24"/>
      <c r="M40" s="24"/>
      <c r="N40" s="24">
        <v>1252</v>
      </c>
      <c r="O40" s="24">
        <v>2186</v>
      </c>
      <c r="P40" s="24"/>
      <c r="Q40" s="24"/>
      <c r="R40" s="24">
        <v>147.63</v>
      </c>
      <c r="S40" s="24">
        <v>148.59</v>
      </c>
      <c r="T40" s="24"/>
      <c r="U40" s="24">
        <v>6.25</v>
      </c>
      <c r="V40" s="24"/>
      <c r="W40" s="24"/>
      <c r="X40" s="24">
        <v>539</v>
      </c>
      <c r="Y40" s="24">
        <v>2154</v>
      </c>
      <c r="Z40" s="24">
        <v>3057</v>
      </c>
      <c r="AA40" s="24">
        <v>1294</v>
      </c>
      <c r="AB40" s="24"/>
      <c r="AC40" s="24"/>
      <c r="AD40" s="24"/>
      <c r="AE40" s="24"/>
      <c r="AF40" s="24"/>
      <c r="AG40" s="24"/>
      <c r="AH40" s="24"/>
      <c r="AI40" s="24"/>
      <c r="AJ40" s="24">
        <v>18698.36</v>
      </c>
      <c r="AK40" s="24">
        <v>18698.36</v>
      </c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>
        <v>3488</v>
      </c>
      <c r="AW40" s="24">
        <v>3488</v>
      </c>
      <c r="AX40" s="24"/>
      <c r="AY40" s="24"/>
      <c r="AZ40" s="24"/>
      <c r="BA40" s="24"/>
      <c r="BB40" s="24">
        <v>1082</v>
      </c>
      <c r="BC40" s="24">
        <v>2472</v>
      </c>
      <c r="BD40" s="24"/>
      <c r="BE40" s="24">
        <v>3292</v>
      </c>
      <c r="BF40" s="24">
        <v>12524</v>
      </c>
      <c r="BG40" s="24">
        <v>21708</v>
      </c>
      <c r="BH40" s="24"/>
      <c r="BI40" s="24"/>
      <c r="BJ40" s="24">
        <v>1768</v>
      </c>
      <c r="BK40" s="24">
        <v>1768</v>
      </c>
      <c r="BL40" s="37">
        <f t="shared" si="3"/>
        <v>45105.990000000005</v>
      </c>
      <c r="BM40" s="37">
        <f t="shared" si="3"/>
        <v>61654.2</v>
      </c>
    </row>
    <row r="41" spans="1:65" x14ac:dyDescent="0.25">
      <c r="A41" s="36" t="s">
        <v>280</v>
      </c>
      <c r="B41" s="24">
        <v>528</v>
      </c>
      <c r="C41" s="24">
        <v>943</v>
      </c>
      <c r="D41" s="24">
        <v>5353</v>
      </c>
      <c r="E41" s="24">
        <v>10293</v>
      </c>
      <c r="F41" s="24"/>
      <c r="G41" s="24"/>
      <c r="H41" s="24">
        <v>-19936</v>
      </c>
      <c r="I41" s="24">
        <v>-46626</v>
      </c>
      <c r="J41" s="24">
        <v>12066</v>
      </c>
      <c r="K41" s="24">
        <v>25785</v>
      </c>
      <c r="L41" s="24">
        <v>2159</v>
      </c>
      <c r="M41" s="24">
        <v>4048</v>
      </c>
      <c r="N41" s="24">
        <v>361</v>
      </c>
      <c r="O41" s="24">
        <v>618</v>
      </c>
      <c r="P41" s="24"/>
      <c r="Q41" s="24"/>
      <c r="R41" s="24">
        <v>118.89</v>
      </c>
      <c r="S41" s="24">
        <v>235.76</v>
      </c>
      <c r="T41" s="24">
        <v>4183.3599999999997</v>
      </c>
      <c r="U41" s="24">
        <v>7749.51</v>
      </c>
      <c r="V41" s="24">
        <v>-21006</v>
      </c>
      <c r="W41" s="24">
        <v>-41332</v>
      </c>
      <c r="X41" s="24">
        <v>10202</v>
      </c>
      <c r="Y41" s="24">
        <v>18470</v>
      </c>
      <c r="Z41" s="24">
        <v>12379</v>
      </c>
      <c r="AA41" s="24">
        <v>23105</v>
      </c>
      <c r="AB41" s="24">
        <v>1157</v>
      </c>
      <c r="AC41" s="24">
        <v>1847</v>
      </c>
      <c r="AD41" s="24">
        <v>299</v>
      </c>
      <c r="AE41" s="24">
        <v>551</v>
      </c>
      <c r="AF41" s="24">
        <v>-95</v>
      </c>
      <c r="AG41" s="24">
        <v>-176</v>
      </c>
      <c r="AH41" s="24">
        <v>853.53</v>
      </c>
      <c r="AI41" s="24">
        <v>1585.6</v>
      </c>
      <c r="AJ41" s="24">
        <v>11981.17</v>
      </c>
      <c r="AK41" s="24">
        <v>25572.79</v>
      </c>
      <c r="AL41" s="24">
        <v>-36</v>
      </c>
      <c r="AM41" s="24">
        <v>-75</v>
      </c>
      <c r="AN41" s="24">
        <v>8805</v>
      </c>
      <c r="AO41" s="24">
        <v>16470</v>
      </c>
      <c r="AP41" s="24">
        <v>7</v>
      </c>
      <c r="AQ41" s="24">
        <v>12</v>
      </c>
      <c r="AR41" s="24">
        <v>1630</v>
      </c>
      <c r="AS41" s="24">
        <v>2875</v>
      </c>
      <c r="AT41" s="24">
        <v>689</v>
      </c>
      <c r="AU41" s="24">
        <v>1666</v>
      </c>
      <c r="AV41" s="24">
        <v>7801</v>
      </c>
      <c r="AW41" s="24">
        <v>14642</v>
      </c>
      <c r="AX41" s="24"/>
      <c r="AY41" s="24"/>
      <c r="AZ41" s="24">
        <v>9555</v>
      </c>
      <c r="BA41" s="24">
        <v>18560</v>
      </c>
      <c r="BB41" s="24">
        <v>1773</v>
      </c>
      <c r="BC41" s="24">
        <v>3133</v>
      </c>
      <c r="BD41" s="24"/>
      <c r="BE41" s="24">
        <v>109588</v>
      </c>
      <c r="BF41" s="24">
        <v>7877</v>
      </c>
      <c r="BG41" s="24">
        <v>14469</v>
      </c>
      <c r="BH41" s="24">
        <v>4125</v>
      </c>
      <c r="BI41" s="24">
        <v>18525</v>
      </c>
      <c r="BJ41" s="24">
        <v>586</v>
      </c>
      <c r="BK41" s="24">
        <v>1353</v>
      </c>
      <c r="BL41" s="37">
        <f t="shared" si="3"/>
        <v>63415.95</v>
      </c>
      <c r="BM41" s="37">
        <f t="shared" si="3"/>
        <v>233887.66</v>
      </c>
    </row>
    <row r="42" spans="1:65" s="4" customFormat="1" x14ac:dyDescent="0.25">
      <c r="A42" s="38" t="s">
        <v>281</v>
      </c>
      <c r="B42" s="26">
        <v>11241</v>
      </c>
      <c r="C42" s="26">
        <v>18697</v>
      </c>
      <c r="D42" s="26">
        <v>23840</v>
      </c>
      <c r="E42" s="26">
        <v>44246</v>
      </c>
      <c r="F42" s="26"/>
      <c r="G42" s="26"/>
      <c r="H42" s="26">
        <v>41276</v>
      </c>
      <c r="I42" s="26">
        <v>86974</v>
      </c>
      <c r="J42" s="26">
        <v>39168</v>
      </c>
      <c r="K42" s="26">
        <v>76392</v>
      </c>
      <c r="L42" s="26">
        <v>7786</v>
      </c>
      <c r="M42" s="26">
        <v>14597</v>
      </c>
      <c r="N42" s="26">
        <v>8868</v>
      </c>
      <c r="O42" s="26">
        <v>14854</v>
      </c>
      <c r="P42" s="26"/>
      <c r="Q42" s="26"/>
      <c r="R42" s="26">
        <v>2286.0700000000002</v>
      </c>
      <c r="S42" s="26">
        <v>4471.5600000000004</v>
      </c>
      <c r="T42" s="26">
        <v>7952.24</v>
      </c>
      <c r="U42" s="26">
        <v>14444.04</v>
      </c>
      <c r="V42" s="26">
        <v>55865</v>
      </c>
      <c r="W42" s="26">
        <v>111402</v>
      </c>
      <c r="X42" s="26">
        <v>69025</v>
      </c>
      <c r="Y42" s="26">
        <v>128170</v>
      </c>
      <c r="Z42" s="26">
        <v>38177</v>
      </c>
      <c r="AA42" s="26">
        <v>71880</v>
      </c>
      <c r="AB42" s="26">
        <v>3365</v>
      </c>
      <c r="AC42" s="26">
        <v>5852</v>
      </c>
      <c r="AD42" s="26">
        <v>4893</v>
      </c>
      <c r="AE42" s="26">
        <v>9124</v>
      </c>
      <c r="AF42" s="26">
        <v>1955</v>
      </c>
      <c r="AG42" s="26">
        <v>3514</v>
      </c>
      <c r="AH42" s="26">
        <v>17324.580000000002</v>
      </c>
      <c r="AI42" s="26">
        <v>31893.919999999998</v>
      </c>
      <c r="AJ42" s="26">
        <v>157186.43</v>
      </c>
      <c r="AK42" s="26">
        <v>287042.7</v>
      </c>
      <c r="AL42" s="26">
        <v>743</v>
      </c>
      <c r="AM42" s="26">
        <v>1261</v>
      </c>
      <c r="AN42" s="26">
        <v>33030</v>
      </c>
      <c r="AO42" s="26">
        <v>60880</v>
      </c>
      <c r="AP42" s="26">
        <v>151</v>
      </c>
      <c r="AQ42" s="26">
        <v>260</v>
      </c>
      <c r="AR42" s="26">
        <v>21259</v>
      </c>
      <c r="AS42" s="26">
        <v>37254</v>
      </c>
      <c r="AT42" s="26">
        <v>6200</v>
      </c>
      <c r="AU42" s="26">
        <v>12606</v>
      </c>
      <c r="AV42" s="26">
        <v>26154</v>
      </c>
      <c r="AW42" s="26">
        <v>46505</v>
      </c>
      <c r="AX42" s="26"/>
      <c r="AY42" s="26"/>
      <c r="AZ42" s="26">
        <v>194709</v>
      </c>
      <c r="BA42" s="26">
        <v>368416</v>
      </c>
      <c r="BB42" s="26">
        <v>29831</v>
      </c>
      <c r="BC42" s="26">
        <v>52227</v>
      </c>
      <c r="BD42" s="26"/>
      <c r="BE42" s="26">
        <v>703160</v>
      </c>
      <c r="BF42" s="26">
        <v>223929</v>
      </c>
      <c r="BG42" s="26">
        <v>395401</v>
      </c>
      <c r="BH42" s="26">
        <v>158721</v>
      </c>
      <c r="BI42" s="26">
        <v>303217</v>
      </c>
      <c r="BJ42" s="26">
        <v>7648</v>
      </c>
      <c r="BK42" s="26">
        <v>12830</v>
      </c>
      <c r="BL42" s="39">
        <f t="shared" si="3"/>
        <v>1192583.32</v>
      </c>
      <c r="BM42" s="39">
        <f t="shared" si="3"/>
        <v>2917571.2199999997</v>
      </c>
    </row>
    <row r="43" spans="1:65" x14ac:dyDescent="0.25">
      <c r="A43" s="36" t="s">
        <v>282</v>
      </c>
      <c r="B43" s="24">
        <v>7032</v>
      </c>
      <c r="C43" s="24">
        <v>7032</v>
      </c>
      <c r="D43" s="24">
        <v>17962</v>
      </c>
      <c r="E43" s="24">
        <v>17962</v>
      </c>
      <c r="F43" s="24"/>
      <c r="G43" s="24"/>
      <c r="H43" s="24">
        <v>34340</v>
      </c>
      <c r="I43" s="24">
        <v>34340</v>
      </c>
      <c r="J43" s="24">
        <v>58679</v>
      </c>
      <c r="K43" s="24">
        <v>58679</v>
      </c>
      <c r="L43" s="24">
        <v>6345</v>
      </c>
      <c r="M43" s="24">
        <v>6345</v>
      </c>
      <c r="N43" s="24">
        <v>7058</v>
      </c>
      <c r="O43" s="24">
        <v>7058</v>
      </c>
      <c r="P43" s="24"/>
      <c r="Q43" s="24"/>
      <c r="R43" s="24">
        <v>3991.86</v>
      </c>
      <c r="S43" s="24">
        <v>3991.86</v>
      </c>
      <c r="T43" s="24">
        <v>8300.2000000000007</v>
      </c>
      <c r="U43" s="24">
        <v>8300.2000000000007</v>
      </c>
      <c r="V43" s="24">
        <v>60904</v>
      </c>
      <c r="W43" s="24">
        <v>60904</v>
      </c>
      <c r="X43" s="24">
        <v>93931</v>
      </c>
      <c r="Y43" s="24">
        <v>93931</v>
      </c>
      <c r="Z43" s="24">
        <v>4795</v>
      </c>
      <c r="AA43" s="24">
        <v>32847</v>
      </c>
      <c r="AB43" s="24">
        <v>4071</v>
      </c>
      <c r="AC43" s="24">
        <v>4071</v>
      </c>
      <c r="AD43" s="24">
        <v>5775</v>
      </c>
      <c r="AE43" s="24">
        <v>5775</v>
      </c>
      <c r="AF43" s="24">
        <v>2354</v>
      </c>
      <c r="AG43" s="24">
        <v>2354</v>
      </c>
      <c r="AH43" s="24">
        <v>11075.84</v>
      </c>
      <c r="AI43" s="24">
        <v>11075.84</v>
      </c>
      <c r="AJ43" s="24">
        <v>17352.400000000001</v>
      </c>
      <c r="AK43" s="24">
        <v>132078.35</v>
      </c>
      <c r="AL43" s="24">
        <v>561</v>
      </c>
      <c r="AM43" s="24">
        <v>561</v>
      </c>
      <c r="AN43" s="24">
        <v>29540</v>
      </c>
      <c r="AO43" s="24">
        <v>29540</v>
      </c>
      <c r="AP43" s="24">
        <v>212</v>
      </c>
      <c r="AQ43" s="24">
        <v>212</v>
      </c>
      <c r="AR43" s="24">
        <v>35145</v>
      </c>
      <c r="AS43" s="24">
        <v>35145</v>
      </c>
      <c r="AT43" s="24">
        <v>9142</v>
      </c>
      <c r="AU43" s="24">
        <v>9142</v>
      </c>
      <c r="AV43" s="24">
        <v>29220</v>
      </c>
      <c r="AW43" s="24">
        <v>29220</v>
      </c>
      <c r="AX43" s="24">
        <v>-34</v>
      </c>
      <c r="AY43" s="24">
        <v>326</v>
      </c>
      <c r="AZ43" s="24">
        <v>-3758</v>
      </c>
      <c r="BA43" s="24">
        <v>84825</v>
      </c>
      <c r="BB43" s="24">
        <v>38852</v>
      </c>
      <c r="BC43" s="24">
        <v>38852</v>
      </c>
      <c r="BD43" s="24"/>
      <c r="BE43" s="24">
        <v>214455</v>
      </c>
      <c r="BF43" s="24">
        <v>65636</v>
      </c>
      <c r="BG43" s="24">
        <v>198857</v>
      </c>
      <c r="BH43" s="24"/>
      <c r="BI43" s="24"/>
      <c r="BJ43" s="24">
        <v>584</v>
      </c>
      <c r="BK43" s="24">
        <v>3905</v>
      </c>
      <c r="BL43" s="37">
        <f t="shared" si="3"/>
        <v>549066.30000000005</v>
      </c>
      <c r="BM43" s="37">
        <f t="shared" si="3"/>
        <v>1131784.25</v>
      </c>
    </row>
    <row r="44" spans="1:65" ht="15" customHeight="1" x14ac:dyDescent="0.25">
      <c r="A44" s="36" t="s">
        <v>283</v>
      </c>
      <c r="B44" s="24">
        <v>4767</v>
      </c>
      <c r="C44" s="24">
        <v>3751</v>
      </c>
      <c r="D44" s="24">
        <v>13821</v>
      </c>
      <c r="E44" s="24">
        <v>11388</v>
      </c>
      <c r="F44" s="24"/>
      <c r="G44" s="24"/>
      <c r="H44" s="24">
        <v>34929</v>
      </c>
      <c r="I44" s="24">
        <v>43004</v>
      </c>
      <c r="J44" s="24">
        <v>48741</v>
      </c>
      <c r="K44" s="24">
        <v>44146</v>
      </c>
      <c r="L44" s="24">
        <v>5860</v>
      </c>
      <c r="M44" s="24">
        <v>6331</v>
      </c>
      <c r="N44" s="24">
        <v>6467</v>
      </c>
      <c r="O44" s="24">
        <v>3484</v>
      </c>
      <c r="P44" s="24"/>
      <c r="Q44" s="24"/>
      <c r="R44" s="24">
        <v>3538.6</v>
      </c>
      <c r="S44" s="24">
        <v>3081.76</v>
      </c>
      <c r="T44" s="24">
        <v>7336.71</v>
      </c>
      <c r="U44" s="24">
        <v>6308.9</v>
      </c>
      <c r="V44" s="24">
        <v>-56449</v>
      </c>
      <c r="W44" s="24">
        <v>-49635</v>
      </c>
      <c r="X44" s="24">
        <v>84064</v>
      </c>
      <c r="Y44" s="24">
        <v>75794</v>
      </c>
      <c r="Z44" s="24"/>
      <c r="AA44" s="24">
        <v>23268</v>
      </c>
      <c r="AB44" s="24">
        <v>3832</v>
      </c>
      <c r="AC44" s="24">
        <v>3802</v>
      </c>
      <c r="AD44" s="24">
        <v>5416</v>
      </c>
      <c r="AE44" s="24">
        <v>4705</v>
      </c>
      <c r="AF44" s="24">
        <v>-1771</v>
      </c>
      <c r="AG44" s="24">
        <v>-1387</v>
      </c>
      <c r="AH44" s="24">
        <v>10278.11</v>
      </c>
      <c r="AI44" s="24">
        <v>10102.709999999999</v>
      </c>
      <c r="AJ44" s="24"/>
      <c r="AK44" s="24">
        <v>112788.08</v>
      </c>
      <c r="AL44" s="24">
        <v>-387</v>
      </c>
      <c r="AM44" s="24">
        <v>-441</v>
      </c>
      <c r="AN44" s="24">
        <v>27086</v>
      </c>
      <c r="AO44" s="24">
        <v>25807</v>
      </c>
      <c r="AP44" s="24">
        <v>240</v>
      </c>
      <c r="AQ44" s="24">
        <v>188</v>
      </c>
      <c r="AR44" s="24">
        <v>32976</v>
      </c>
      <c r="AS44" s="24">
        <v>27407</v>
      </c>
      <c r="AT44" s="24">
        <v>7173</v>
      </c>
      <c r="AU44" s="24">
        <v>7010</v>
      </c>
      <c r="AV44" s="24">
        <v>29445</v>
      </c>
      <c r="AW44" s="24">
        <v>30617</v>
      </c>
      <c r="AX44" s="24"/>
      <c r="AY44" s="24">
        <v>366</v>
      </c>
      <c r="AZ44" s="24"/>
      <c r="BA44" s="24">
        <v>87328</v>
      </c>
      <c r="BB44" s="24">
        <v>33829</v>
      </c>
      <c r="BC44" s="24">
        <v>30752</v>
      </c>
      <c r="BD44" s="24"/>
      <c r="BE44" s="24">
        <v>191471</v>
      </c>
      <c r="BF44" s="24">
        <v>0</v>
      </c>
      <c r="BG44" s="24">
        <v>118909</v>
      </c>
      <c r="BH44" s="24"/>
      <c r="BI44" s="24"/>
      <c r="BJ44" s="24"/>
      <c r="BK44" s="24">
        <v>3443</v>
      </c>
      <c r="BL44" s="37">
        <f t="shared" si="3"/>
        <v>301192.42</v>
      </c>
      <c r="BM44" s="37">
        <f t="shared" si="3"/>
        <v>823789.45</v>
      </c>
    </row>
    <row r="45" spans="1:65" s="4" customFormat="1" x14ac:dyDescent="0.25">
      <c r="A45" s="38" t="s">
        <v>284</v>
      </c>
      <c r="B45" s="26">
        <v>13506</v>
      </c>
      <c r="C45" s="26">
        <v>21978</v>
      </c>
      <c r="D45" s="26">
        <v>27981</v>
      </c>
      <c r="E45" s="26">
        <v>50820</v>
      </c>
      <c r="F45" s="26"/>
      <c r="G45" s="26"/>
      <c r="H45" s="26">
        <v>40687</v>
      </c>
      <c r="I45" s="26">
        <v>78310</v>
      </c>
      <c r="J45" s="26">
        <v>49106</v>
      </c>
      <c r="K45" s="26">
        <v>90925</v>
      </c>
      <c r="L45" s="26">
        <v>8271</v>
      </c>
      <c r="M45" s="26">
        <v>14610</v>
      </c>
      <c r="N45" s="26">
        <v>9459</v>
      </c>
      <c r="O45" s="26">
        <v>18428</v>
      </c>
      <c r="P45" s="26"/>
      <c r="Q45" s="26"/>
      <c r="R45" s="26">
        <v>2739.33</v>
      </c>
      <c r="S45" s="26">
        <v>5381.66</v>
      </c>
      <c r="T45" s="26">
        <v>8915.73</v>
      </c>
      <c r="U45" s="26">
        <v>16435.34</v>
      </c>
      <c r="V45" s="26">
        <v>60319</v>
      </c>
      <c r="W45" s="26">
        <v>122671</v>
      </c>
      <c r="X45" s="26">
        <v>78892</v>
      </c>
      <c r="Y45" s="26">
        <v>146307</v>
      </c>
      <c r="Z45" s="26">
        <v>42972</v>
      </c>
      <c r="AA45" s="26">
        <v>81459</v>
      </c>
      <c r="AB45" s="26">
        <v>3605</v>
      </c>
      <c r="AC45" s="26">
        <v>6122</v>
      </c>
      <c r="AD45" s="26">
        <v>5252</v>
      </c>
      <c r="AE45" s="26">
        <v>10194</v>
      </c>
      <c r="AF45" s="26">
        <v>2538</v>
      </c>
      <c r="AG45" s="26">
        <v>4481</v>
      </c>
      <c r="AH45" s="26">
        <v>18122.310000000001</v>
      </c>
      <c r="AI45" s="26">
        <v>32867.050000000003</v>
      </c>
      <c r="AJ45" s="26">
        <v>174538.83</v>
      </c>
      <c r="AK45" s="26">
        <v>306332.96999999997</v>
      </c>
      <c r="AL45" s="26">
        <v>917</v>
      </c>
      <c r="AM45" s="26">
        <v>1381</v>
      </c>
      <c r="AN45" s="26">
        <v>35484</v>
      </c>
      <c r="AO45" s="26">
        <v>64613</v>
      </c>
      <c r="AP45" s="26">
        <v>123</v>
      </c>
      <c r="AQ45" s="26">
        <v>284</v>
      </c>
      <c r="AR45" s="26">
        <v>23427</v>
      </c>
      <c r="AS45" s="26">
        <v>44991</v>
      </c>
      <c r="AT45" s="26">
        <v>8169</v>
      </c>
      <c r="AU45" s="26">
        <v>14737</v>
      </c>
      <c r="AV45" s="26">
        <v>25930</v>
      </c>
      <c r="AW45" s="26">
        <v>45108</v>
      </c>
      <c r="AX45" s="26">
        <v>-34</v>
      </c>
      <c r="AY45" s="26">
        <v>-40</v>
      </c>
      <c r="AZ45" s="26">
        <v>190951</v>
      </c>
      <c r="BA45" s="26">
        <v>365913</v>
      </c>
      <c r="BB45" s="26">
        <v>34854</v>
      </c>
      <c r="BC45" s="26">
        <v>60328</v>
      </c>
      <c r="BD45" s="26"/>
      <c r="BE45" s="26">
        <v>726144</v>
      </c>
      <c r="BF45" s="26">
        <v>289565</v>
      </c>
      <c r="BG45" s="26">
        <v>475349</v>
      </c>
      <c r="BH45" s="26">
        <v>172797</v>
      </c>
      <c r="BI45" s="26">
        <v>341324</v>
      </c>
      <c r="BJ45" s="26">
        <v>8232</v>
      </c>
      <c r="BK45" s="26">
        <v>13293</v>
      </c>
      <c r="BL45" s="39">
        <f t="shared" si="3"/>
        <v>1337319.2</v>
      </c>
      <c r="BM45" s="39">
        <f t="shared" si="3"/>
        <v>3160747.02</v>
      </c>
    </row>
    <row r="46" spans="1:65" x14ac:dyDescent="0.25">
      <c r="A46" s="2"/>
    </row>
    <row r="47" spans="1:65" x14ac:dyDescent="0.25">
      <c r="A47" s="8" t="s">
        <v>187</v>
      </c>
    </row>
    <row r="48" spans="1:65" x14ac:dyDescent="0.25">
      <c r="A48" s="38" t="s">
        <v>0</v>
      </c>
      <c r="B48" s="94" t="s">
        <v>1</v>
      </c>
      <c r="C48" s="95"/>
      <c r="D48" s="94" t="s">
        <v>232</v>
      </c>
      <c r="E48" s="95"/>
      <c r="F48" s="94" t="s">
        <v>2</v>
      </c>
      <c r="G48" s="95"/>
      <c r="H48" s="94" t="s">
        <v>3</v>
      </c>
      <c r="I48" s="95"/>
      <c r="J48" s="94" t="s">
        <v>241</v>
      </c>
      <c r="K48" s="95"/>
      <c r="L48" s="94" t="s">
        <v>233</v>
      </c>
      <c r="M48" s="95"/>
      <c r="N48" s="94" t="s">
        <v>246</v>
      </c>
      <c r="O48" s="95"/>
      <c r="P48" s="94" t="s">
        <v>5</v>
      </c>
      <c r="Q48" s="95"/>
      <c r="R48" s="94" t="s">
        <v>4</v>
      </c>
      <c r="S48" s="95"/>
      <c r="T48" s="94" t="s">
        <v>6</v>
      </c>
      <c r="U48" s="95"/>
      <c r="V48" s="94" t="s">
        <v>7</v>
      </c>
      <c r="W48" s="95"/>
      <c r="X48" s="94" t="s">
        <v>8</v>
      </c>
      <c r="Y48" s="95"/>
      <c r="Z48" s="94" t="s">
        <v>9</v>
      </c>
      <c r="AA48" s="95"/>
      <c r="AB48" s="94" t="s">
        <v>240</v>
      </c>
      <c r="AC48" s="95"/>
      <c r="AD48" s="94" t="s">
        <v>10</v>
      </c>
      <c r="AE48" s="95"/>
      <c r="AF48" s="94" t="s">
        <v>11</v>
      </c>
      <c r="AG48" s="95"/>
      <c r="AH48" s="94" t="s">
        <v>234</v>
      </c>
      <c r="AI48" s="95"/>
      <c r="AJ48" s="94" t="s">
        <v>12</v>
      </c>
      <c r="AK48" s="95"/>
      <c r="AL48" s="94" t="s">
        <v>235</v>
      </c>
      <c r="AM48" s="95"/>
      <c r="AN48" s="94" t="s">
        <v>300</v>
      </c>
      <c r="AO48" s="95"/>
      <c r="AP48" s="94" t="s">
        <v>236</v>
      </c>
      <c r="AQ48" s="95"/>
      <c r="AR48" s="94" t="s">
        <v>239</v>
      </c>
      <c r="AS48" s="95"/>
      <c r="AT48" s="94" t="s">
        <v>13</v>
      </c>
      <c r="AU48" s="95"/>
      <c r="AV48" s="94" t="s">
        <v>14</v>
      </c>
      <c r="AW48" s="95"/>
      <c r="AX48" s="94" t="s">
        <v>15</v>
      </c>
      <c r="AY48" s="95"/>
      <c r="AZ48" s="94" t="s">
        <v>16</v>
      </c>
      <c r="BA48" s="95"/>
      <c r="BB48" s="94" t="s">
        <v>17</v>
      </c>
      <c r="BC48" s="95"/>
      <c r="BD48" s="94" t="s">
        <v>237</v>
      </c>
      <c r="BE48" s="95"/>
      <c r="BF48" s="94" t="s">
        <v>238</v>
      </c>
      <c r="BG48" s="95"/>
      <c r="BH48" s="94" t="s">
        <v>18</v>
      </c>
      <c r="BI48" s="95"/>
      <c r="BJ48" s="94" t="s">
        <v>19</v>
      </c>
      <c r="BK48" s="95"/>
      <c r="BL48" s="96" t="s">
        <v>20</v>
      </c>
      <c r="BM48" s="97"/>
    </row>
    <row r="49" spans="1:65" ht="30" x14ac:dyDescent="0.25">
      <c r="A49" s="38"/>
      <c r="B49" s="34" t="s">
        <v>298</v>
      </c>
      <c r="C49" s="35" t="s">
        <v>299</v>
      </c>
      <c r="D49" s="34" t="s">
        <v>298</v>
      </c>
      <c r="E49" s="35" t="s">
        <v>299</v>
      </c>
      <c r="F49" s="34" t="s">
        <v>298</v>
      </c>
      <c r="G49" s="35" t="s">
        <v>299</v>
      </c>
      <c r="H49" s="34" t="s">
        <v>298</v>
      </c>
      <c r="I49" s="35" t="s">
        <v>299</v>
      </c>
      <c r="J49" s="34" t="s">
        <v>298</v>
      </c>
      <c r="K49" s="35" t="s">
        <v>299</v>
      </c>
      <c r="L49" s="34" t="s">
        <v>298</v>
      </c>
      <c r="M49" s="35" t="s">
        <v>299</v>
      </c>
      <c r="N49" s="34" t="s">
        <v>298</v>
      </c>
      <c r="O49" s="35" t="s">
        <v>299</v>
      </c>
      <c r="P49" s="34" t="s">
        <v>298</v>
      </c>
      <c r="Q49" s="35" t="s">
        <v>299</v>
      </c>
      <c r="R49" s="34" t="s">
        <v>298</v>
      </c>
      <c r="S49" s="35" t="s">
        <v>299</v>
      </c>
      <c r="T49" s="34" t="s">
        <v>298</v>
      </c>
      <c r="U49" s="35" t="s">
        <v>299</v>
      </c>
      <c r="V49" s="34" t="s">
        <v>298</v>
      </c>
      <c r="W49" s="35" t="s">
        <v>299</v>
      </c>
      <c r="X49" s="34" t="s">
        <v>298</v>
      </c>
      <c r="Y49" s="35" t="s">
        <v>299</v>
      </c>
      <c r="Z49" s="34" t="s">
        <v>298</v>
      </c>
      <c r="AA49" s="35" t="s">
        <v>299</v>
      </c>
      <c r="AB49" s="34" t="s">
        <v>298</v>
      </c>
      <c r="AC49" s="35" t="s">
        <v>299</v>
      </c>
      <c r="AD49" s="34" t="s">
        <v>298</v>
      </c>
      <c r="AE49" s="35" t="s">
        <v>299</v>
      </c>
      <c r="AF49" s="34" t="s">
        <v>298</v>
      </c>
      <c r="AG49" s="35" t="s">
        <v>299</v>
      </c>
      <c r="AH49" s="34" t="s">
        <v>298</v>
      </c>
      <c r="AI49" s="35" t="s">
        <v>299</v>
      </c>
      <c r="AJ49" s="34" t="s">
        <v>298</v>
      </c>
      <c r="AK49" s="35" t="s">
        <v>299</v>
      </c>
      <c r="AL49" s="34" t="s">
        <v>298</v>
      </c>
      <c r="AM49" s="35" t="s">
        <v>299</v>
      </c>
      <c r="AN49" s="34" t="s">
        <v>298</v>
      </c>
      <c r="AO49" s="35" t="s">
        <v>299</v>
      </c>
      <c r="AP49" s="34" t="s">
        <v>298</v>
      </c>
      <c r="AQ49" s="35" t="s">
        <v>299</v>
      </c>
      <c r="AR49" s="34" t="s">
        <v>298</v>
      </c>
      <c r="AS49" s="35" t="s">
        <v>299</v>
      </c>
      <c r="AT49" s="34" t="s">
        <v>298</v>
      </c>
      <c r="AU49" s="35" t="s">
        <v>299</v>
      </c>
      <c r="AV49" s="34" t="s">
        <v>298</v>
      </c>
      <c r="AW49" s="35" t="s">
        <v>299</v>
      </c>
      <c r="AX49" s="34" t="s">
        <v>298</v>
      </c>
      <c r="AY49" s="35" t="s">
        <v>299</v>
      </c>
      <c r="AZ49" s="34" t="s">
        <v>298</v>
      </c>
      <c r="BA49" s="35" t="s">
        <v>299</v>
      </c>
      <c r="BB49" s="34" t="s">
        <v>298</v>
      </c>
      <c r="BC49" s="35" t="s">
        <v>299</v>
      </c>
      <c r="BD49" s="34" t="s">
        <v>298</v>
      </c>
      <c r="BE49" s="35" t="s">
        <v>299</v>
      </c>
      <c r="BF49" s="34" t="s">
        <v>298</v>
      </c>
      <c r="BG49" s="35" t="s">
        <v>299</v>
      </c>
      <c r="BH49" s="34" t="s">
        <v>298</v>
      </c>
      <c r="BI49" s="35" t="s">
        <v>299</v>
      </c>
      <c r="BJ49" s="34" t="s">
        <v>298</v>
      </c>
      <c r="BK49" s="35" t="s">
        <v>299</v>
      </c>
      <c r="BL49" s="34" t="s">
        <v>298</v>
      </c>
      <c r="BM49" s="35" t="s">
        <v>299</v>
      </c>
    </row>
    <row r="50" spans="1:65" x14ac:dyDescent="0.25">
      <c r="A50" s="36" t="s">
        <v>278</v>
      </c>
      <c r="B50" s="24">
        <v>19</v>
      </c>
      <c r="C50" s="24">
        <v>30</v>
      </c>
      <c r="D50" s="24">
        <v>561</v>
      </c>
      <c r="E50" s="24">
        <v>1627</v>
      </c>
      <c r="F50" s="24"/>
      <c r="G50" s="24"/>
      <c r="H50" s="24">
        <v>2122</v>
      </c>
      <c r="I50" s="24">
        <v>4194</v>
      </c>
      <c r="J50" s="24">
        <v>1400</v>
      </c>
      <c r="K50" s="24">
        <v>2884</v>
      </c>
      <c r="L50" s="24">
        <v>1474</v>
      </c>
      <c r="M50" s="24">
        <v>2982</v>
      </c>
      <c r="N50" s="24">
        <v>1401</v>
      </c>
      <c r="O50" s="24">
        <v>2659</v>
      </c>
      <c r="P50" s="24"/>
      <c r="Q50" s="24"/>
      <c r="R50" s="24">
        <v>78.900000000000006</v>
      </c>
      <c r="S50" s="24">
        <v>205.02</v>
      </c>
      <c r="T50" s="24">
        <v>1127.6500000000001</v>
      </c>
      <c r="U50" s="24">
        <v>1995.83</v>
      </c>
      <c r="V50" s="24">
        <v>5829</v>
      </c>
      <c r="W50" s="24">
        <v>10139</v>
      </c>
      <c r="X50" s="24">
        <v>5689</v>
      </c>
      <c r="Y50" s="24">
        <v>10142</v>
      </c>
      <c r="Z50" s="24">
        <v>2215</v>
      </c>
      <c r="AA50" s="24">
        <v>3933</v>
      </c>
      <c r="AB50" s="24">
        <v>167</v>
      </c>
      <c r="AC50" s="24">
        <v>226</v>
      </c>
      <c r="AD50" s="24">
        <v>155</v>
      </c>
      <c r="AE50" s="24">
        <v>350</v>
      </c>
      <c r="AF50" s="24">
        <v>54</v>
      </c>
      <c r="AG50" s="24">
        <v>71</v>
      </c>
      <c r="AH50" s="24">
        <v>114.76</v>
      </c>
      <c r="AI50" s="24">
        <v>260.02</v>
      </c>
      <c r="AJ50" s="24">
        <v>5419.41</v>
      </c>
      <c r="AK50" s="24">
        <v>9753.4599999999991</v>
      </c>
      <c r="AL50" s="24">
        <v>23</v>
      </c>
      <c r="AM50" s="24">
        <v>62</v>
      </c>
      <c r="AN50" s="24">
        <v>405</v>
      </c>
      <c r="AO50" s="24">
        <v>693</v>
      </c>
      <c r="AP50" s="24">
        <v>0</v>
      </c>
      <c r="AQ50" s="24">
        <v>1</v>
      </c>
      <c r="AR50" s="24">
        <v>950</v>
      </c>
      <c r="AS50" s="24">
        <v>1777</v>
      </c>
      <c r="AT50" s="24">
        <v>602</v>
      </c>
      <c r="AU50" s="24">
        <v>1064</v>
      </c>
      <c r="AV50" s="24">
        <v>8224</v>
      </c>
      <c r="AW50" s="24">
        <v>16294</v>
      </c>
      <c r="AX50" s="24">
        <v>433</v>
      </c>
      <c r="AY50" s="24">
        <v>638</v>
      </c>
      <c r="AZ50" s="24">
        <v>2270</v>
      </c>
      <c r="BA50" s="24">
        <v>3601</v>
      </c>
      <c r="BB50" s="24">
        <v>7722</v>
      </c>
      <c r="BC50" s="24">
        <v>16143</v>
      </c>
      <c r="BD50" s="24"/>
      <c r="BE50" s="24">
        <v>34355</v>
      </c>
      <c r="BF50" s="24">
        <v>7425</v>
      </c>
      <c r="BG50" s="24">
        <v>11721</v>
      </c>
      <c r="BH50" s="24">
        <v>13326</v>
      </c>
      <c r="BI50" s="24">
        <v>24777</v>
      </c>
      <c r="BJ50" s="24">
        <v>5074</v>
      </c>
      <c r="BK50" s="24">
        <v>9806</v>
      </c>
      <c r="BL50" s="37">
        <f t="shared" ref="BL50:BM56" si="4">SUM(B50+D50+F50+H50+J50+L50+N50+P50+R50+T50+V50+X50+Z50+AB50+AD50+AF50+AH50+AJ50+AL50+AN50+AP50+AR50+AT50+AV50+AX50+AZ50+BB50+BD50+BF50+BH50+BJ50)</f>
        <v>74280.72</v>
      </c>
      <c r="BM50" s="37">
        <f t="shared" si="4"/>
        <v>172383.33</v>
      </c>
    </row>
    <row r="51" spans="1:65" x14ac:dyDescent="0.25">
      <c r="A51" s="36" t="s">
        <v>279</v>
      </c>
      <c r="B51" s="24"/>
      <c r="C51" s="24"/>
      <c r="D51" s="24"/>
      <c r="E51" s="24"/>
      <c r="F51" s="24"/>
      <c r="G51" s="24"/>
      <c r="H51" s="24"/>
      <c r="I51" s="24">
        <v>0</v>
      </c>
      <c r="J51" s="24"/>
      <c r="K51" s="24"/>
      <c r="L51" s="24"/>
      <c r="M51" s="24"/>
      <c r="N51" s="24"/>
      <c r="O51" s="24"/>
      <c r="P51" s="24"/>
      <c r="Q51" s="24"/>
      <c r="R51" s="24">
        <v>54.29</v>
      </c>
      <c r="S51" s="24">
        <v>58.05</v>
      </c>
      <c r="T51" s="24"/>
      <c r="U51" s="24">
        <v>15.24</v>
      </c>
      <c r="V51" s="24"/>
      <c r="W51" s="24"/>
      <c r="X51" s="24"/>
      <c r="Y51" s="24"/>
      <c r="Z51" s="24"/>
      <c r="AA51" s="24">
        <v>425</v>
      </c>
      <c r="AB51" s="24"/>
      <c r="AC51" s="24"/>
      <c r="AD51" s="24"/>
      <c r="AE51" s="24"/>
      <c r="AF51" s="24">
        <v>10</v>
      </c>
      <c r="AG51" s="24">
        <v>10</v>
      </c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>
        <v>92</v>
      </c>
      <c r="AU51" s="24">
        <v>575</v>
      </c>
      <c r="AV51" s="24"/>
      <c r="AW51" s="24"/>
      <c r="AX51" s="24"/>
      <c r="AY51" s="24"/>
      <c r="AZ51" s="24"/>
      <c r="BA51" s="24"/>
      <c r="BB51" s="24"/>
      <c r="BC51" s="24">
        <v>22</v>
      </c>
      <c r="BD51" s="24"/>
      <c r="BE51" s="24">
        <v>173</v>
      </c>
      <c r="BF51" s="24">
        <v>0</v>
      </c>
      <c r="BG51" s="24">
        <v>0</v>
      </c>
      <c r="BH51" s="24">
        <v>12</v>
      </c>
      <c r="BI51" s="24">
        <v>53</v>
      </c>
      <c r="BJ51" s="24"/>
      <c r="BK51" s="24"/>
      <c r="BL51" s="37">
        <f t="shared" si="4"/>
        <v>168.29</v>
      </c>
      <c r="BM51" s="37">
        <f t="shared" si="4"/>
        <v>1331.29</v>
      </c>
    </row>
    <row r="52" spans="1:65" x14ac:dyDescent="0.25">
      <c r="A52" s="36" t="s">
        <v>280</v>
      </c>
      <c r="B52" s="24">
        <v>1</v>
      </c>
      <c r="C52" s="24">
        <v>3</v>
      </c>
      <c r="D52" s="24">
        <v>50</v>
      </c>
      <c r="E52" s="24">
        <v>291</v>
      </c>
      <c r="F52" s="24"/>
      <c r="G52" s="24"/>
      <c r="H52" s="24">
        <v>-145</v>
      </c>
      <c r="I52" s="24">
        <v>-266</v>
      </c>
      <c r="J52" s="24">
        <v>124</v>
      </c>
      <c r="K52" s="24">
        <v>228</v>
      </c>
      <c r="L52" s="24">
        <v>494</v>
      </c>
      <c r="M52" s="24">
        <v>1031</v>
      </c>
      <c r="N52" s="24">
        <v>613</v>
      </c>
      <c r="O52" s="24">
        <v>1245</v>
      </c>
      <c r="P52" s="24"/>
      <c r="Q52" s="24"/>
      <c r="R52" s="24">
        <v>13.59</v>
      </c>
      <c r="S52" s="24">
        <v>86.25</v>
      </c>
      <c r="T52" s="24">
        <v>128.31</v>
      </c>
      <c r="U52" s="24">
        <v>256.12</v>
      </c>
      <c r="V52" s="24">
        <v>-1479</v>
      </c>
      <c r="W52" s="24">
        <v>-3115</v>
      </c>
      <c r="X52" s="24">
        <v>634</v>
      </c>
      <c r="Y52" s="24">
        <v>970</v>
      </c>
      <c r="Z52" s="24">
        <v>185</v>
      </c>
      <c r="AA52" s="24">
        <v>306</v>
      </c>
      <c r="AB52" s="24">
        <v>101</v>
      </c>
      <c r="AC52" s="24">
        <v>124</v>
      </c>
      <c r="AD52" s="24">
        <v>7</v>
      </c>
      <c r="AE52" s="24">
        <v>17</v>
      </c>
      <c r="AF52" s="24">
        <v>-3</v>
      </c>
      <c r="AG52" s="24">
        <v>-4</v>
      </c>
      <c r="AH52" s="24">
        <v>20.09</v>
      </c>
      <c r="AI52" s="24">
        <v>63.52</v>
      </c>
      <c r="AJ52" s="24">
        <v>272.83</v>
      </c>
      <c r="AK52" s="24">
        <v>511.02</v>
      </c>
      <c r="AL52" s="24">
        <v>-11</v>
      </c>
      <c r="AM52" s="24">
        <v>-31</v>
      </c>
      <c r="AN52" s="24">
        <v>7</v>
      </c>
      <c r="AO52" s="24">
        <v>30</v>
      </c>
      <c r="AP52" s="24">
        <v>0</v>
      </c>
      <c r="AQ52" s="24">
        <v>1</v>
      </c>
      <c r="AR52" s="24">
        <v>210</v>
      </c>
      <c r="AS52" s="24">
        <v>293</v>
      </c>
      <c r="AT52" s="24">
        <v>243</v>
      </c>
      <c r="AU52" s="24">
        <v>666</v>
      </c>
      <c r="AV52" s="24">
        <v>2439</v>
      </c>
      <c r="AW52" s="24">
        <v>4704</v>
      </c>
      <c r="AX52" s="24">
        <v>293</v>
      </c>
      <c r="AY52" s="24">
        <v>410</v>
      </c>
      <c r="AZ52" s="24">
        <v>378</v>
      </c>
      <c r="BA52" s="24">
        <v>603</v>
      </c>
      <c r="BB52" s="24">
        <v>4438</v>
      </c>
      <c r="BC52" s="24">
        <v>9505</v>
      </c>
      <c r="BD52" s="24"/>
      <c r="BE52" s="24">
        <v>1720</v>
      </c>
      <c r="BF52" s="24">
        <v>117</v>
      </c>
      <c r="BG52" s="24">
        <v>587</v>
      </c>
      <c r="BH52" s="24">
        <v>7661</v>
      </c>
      <c r="BI52" s="24">
        <v>15304</v>
      </c>
      <c r="BJ52" s="24">
        <v>3403</v>
      </c>
      <c r="BK52" s="24">
        <v>6209</v>
      </c>
      <c r="BL52" s="37">
        <f t="shared" si="4"/>
        <v>20194.82</v>
      </c>
      <c r="BM52" s="37">
        <f t="shared" si="4"/>
        <v>41747.910000000003</v>
      </c>
    </row>
    <row r="53" spans="1:65" s="4" customFormat="1" x14ac:dyDescent="0.25">
      <c r="A53" s="38" t="s">
        <v>281</v>
      </c>
      <c r="B53" s="26">
        <v>18</v>
      </c>
      <c r="C53" s="26">
        <v>28</v>
      </c>
      <c r="D53" s="26">
        <v>511</v>
      </c>
      <c r="E53" s="26">
        <v>1336</v>
      </c>
      <c r="F53" s="26"/>
      <c r="G53" s="26"/>
      <c r="H53" s="26">
        <v>1977</v>
      </c>
      <c r="I53" s="26">
        <v>3928</v>
      </c>
      <c r="J53" s="26">
        <v>1276</v>
      </c>
      <c r="K53" s="26">
        <v>2656</v>
      </c>
      <c r="L53" s="26">
        <v>980</v>
      </c>
      <c r="M53" s="26">
        <v>1951</v>
      </c>
      <c r="N53" s="26">
        <v>788</v>
      </c>
      <c r="O53" s="26">
        <v>1414</v>
      </c>
      <c r="P53" s="26"/>
      <c r="Q53" s="26"/>
      <c r="R53" s="26">
        <v>119.6</v>
      </c>
      <c r="S53" s="26">
        <v>176.82</v>
      </c>
      <c r="T53" s="26">
        <v>999.35</v>
      </c>
      <c r="U53" s="26">
        <v>1754.95</v>
      </c>
      <c r="V53" s="26">
        <v>4350</v>
      </c>
      <c r="W53" s="26">
        <v>7024</v>
      </c>
      <c r="X53" s="26">
        <v>5055</v>
      </c>
      <c r="Y53" s="26">
        <v>9172</v>
      </c>
      <c r="Z53" s="26">
        <v>2030</v>
      </c>
      <c r="AA53" s="26">
        <v>4052</v>
      </c>
      <c r="AB53" s="26">
        <v>66</v>
      </c>
      <c r="AC53" s="26">
        <v>102</v>
      </c>
      <c r="AD53" s="26">
        <v>148</v>
      </c>
      <c r="AE53" s="26">
        <v>333</v>
      </c>
      <c r="AF53" s="26">
        <v>61</v>
      </c>
      <c r="AG53" s="26">
        <v>77</v>
      </c>
      <c r="AH53" s="26">
        <v>94.67</v>
      </c>
      <c r="AI53" s="26">
        <v>196.5</v>
      </c>
      <c r="AJ53" s="26">
        <v>5146.59</v>
      </c>
      <c r="AK53" s="26">
        <v>9242.44</v>
      </c>
      <c r="AL53" s="26">
        <v>12</v>
      </c>
      <c r="AM53" s="26">
        <v>31</v>
      </c>
      <c r="AN53" s="26">
        <v>398</v>
      </c>
      <c r="AO53" s="26">
        <v>663</v>
      </c>
      <c r="AP53" s="26">
        <v>0</v>
      </c>
      <c r="AQ53" s="26">
        <v>0</v>
      </c>
      <c r="AR53" s="26">
        <v>740</v>
      </c>
      <c r="AS53" s="26">
        <v>1485</v>
      </c>
      <c r="AT53" s="26">
        <v>451</v>
      </c>
      <c r="AU53" s="26">
        <v>972</v>
      </c>
      <c r="AV53" s="26">
        <v>5786</v>
      </c>
      <c r="AW53" s="26">
        <v>11589</v>
      </c>
      <c r="AX53" s="26">
        <v>140</v>
      </c>
      <c r="AY53" s="26">
        <v>228</v>
      </c>
      <c r="AZ53" s="26">
        <v>1892</v>
      </c>
      <c r="BA53" s="26">
        <v>2998</v>
      </c>
      <c r="BB53" s="26">
        <v>3284</v>
      </c>
      <c r="BC53" s="26">
        <v>6661</v>
      </c>
      <c r="BD53" s="26"/>
      <c r="BE53" s="26">
        <v>32808</v>
      </c>
      <c r="BF53" s="26">
        <v>7308</v>
      </c>
      <c r="BG53" s="26">
        <v>11134</v>
      </c>
      <c r="BH53" s="26">
        <v>5677</v>
      </c>
      <c r="BI53" s="26">
        <v>9526</v>
      </c>
      <c r="BJ53" s="26">
        <v>1672</v>
      </c>
      <c r="BK53" s="26">
        <v>3597</v>
      </c>
      <c r="BL53" s="39">
        <f t="shared" si="4"/>
        <v>50980.21</v>
      </c>
      <c r="BM53" s="39">
        <f t="shared" si="4"/>
        <v>125135.71</v>
      </c>
    </row>
    <row r="54" spans="1:65" x14ac:dyDescent="0.25">
      <c r="A54" s="36" t="s">
        <v>282</v>
      </c>
      <c r="B54" s="24">
        <v>156</v>
      </c>
      <c r="C54" s="24">
        <v>156</v>
      </c>
      <c r="D54" s="24">
        <v>1961</v>
      </c>
      <c r="E54" s="24">
        <v>1961</v>
      </c>
      <c r="F54" s="24"/>
      <c r="G54" s="24"/>
      <c r="H54" s="24">
        <v>12498</v>
      </c>
      <c r="I54" s="24">
        <v>12498</v>
      </c>
      <c r="J54" s="24">
        <v>6541</v>
      </c>
      <c r="K54" s="24">
        <v>6541</v>
      </c>
      <c r="L54" s="24">
        <v>2812</v>
      </c>
      <c r="M54" s="24">
        <v>2812</v>
      </c>
      <c r="N54" s="24">
        <v>4681</v>
      </c>
      <c r="O54" s="24">
        <v>4681</v>
      </c>
      <c r="P54" s="24"/>
      <c r="Q54" s="24"/>
      <c r="R54" s="24">
        <v>239.99</v>
      </c>
      <c r="S54" s="24">
        <v>239.99</v>
      </c>
      <c r="T54" s="24">
        <v>3963.49</v>
      </c>
      <c r="U54" s="24">
        <v>3963.49</v>
      </c>
      <c r="V54" s="24">
        <v>25385</v>
      </c>
      <c r="W54" s="24">
        <v>25385</v>
      </c>
      <c r="X54" s="24">
        <v>23471</v>
      </c>
      <c r="Y54" s="24">
        <v>23471</v>
      </c>
      <c r="Z54" s="24">
        <v>337</v>
      </c>
      <c r="AA54" s="24">
        <v>7461</v>
      </c>
      <c r="AB54" s="24">
        <v>770</v>
      </c>
      <c r="AC54" s="24">
        <v>770</v>
      </c>
      <c r="AD54" s="24">
        <v>1718</v>
      </c>
      <c r="AE54" s="24">
        <v>1718</v>
      </c>
      <c r="AF54" s="24">
        <v>332</v>
      </c>
      <c r="AG54" s="24">
        <v>332</v>
      </c>
      <c r="AH54" s="24">
        <v>470.1</v>
      </c>
      <c r="AI54" s="24">
        <v>470.1</v>
      </c>
      <c r="AJ54" s="24">
        <v>8489.36</v>
      </c>
      <c r="AK54" s="24">
        <v>44737.09</v>
      </c>
      <c r="AL54" s="24">
        <v>265</v>
      </c>
      <c r="AM54" s="24">
        <v>265</v>
      </c>
      <c r="AN54" s="24">
        <v>1260</v>
      </c>
      <c r="AO54" s="24">
        <v>1260</v>
      </c>
      <c r="AP54" s="24">
        <v>3</v>
      </c>
      <c r="AQ54" s="24">
        <v>3</v>
      </c>
      <c r="AR54" s="24">
        <v>6471</v>
      </c>
      <c r="AS54" s="24">
        <v>6471</v>
      </c>
      <c r="AT54" s="24">
        <v>2459</v>
      </c>
      <c r="AU54" s="24">
        <v>2459</v>
      </c>
      <c r="AV54" s="24">
        <v>50744</v>
      </c>
      <c r="AW54" s="24">
        <v>50744</v>
      </c>
      <c r="AX54" s="24">
        <v>121</v>
      </c>
      <c r="AY54" s="24">
        <v>1125</v>
      </c>
      <c r="AZ54" s="24">
        <v>-2246</v>
      </c>
      <c r="BA54" s="24">
        <v>6418</v>
      </c>
      <c r="BB54" s="24">
        <v>17697</v>
      </c>
      <c r="BC54" s="24">
        <v>17697</v>
      </c>
      <c r="BD54" s="24"/>
      <c r="BE54" s="24">
        <v>47877</v>
      </c>
      <c r="BF54" s="24">
        <v>17040</v>
      </c>
      <c r="BG54" s="24">
        <v>40667</v>
      </c>
      <c r="BH54" s="24"/>
      <c r="BI54" s="24"/>
      <c r="BJ54" s="24">
        <v>-1692</v>
      </c>
      <c r="BK54" s="24">
        <v>6832</v>
      </c>
      <c r="BL54" s="37">
        <f t="shared" si="4"/>
        <v>185946.94</v>
      </c>
      <c r="BM54" s="37">
        <f t="shared" si="4"/>
        <v>319014.67000000004</v>
      </c>
    </row>
    <row r="55" spans="1:65" ht="15" customHeight="1" x14ac:dyDescent="0.25">
      <c r="A55" s="36" t="s">
        <v>283</v>
      </c>
      <c r="B55" s="24">
        <v>107</v>
      </c>
      <c r="C55" s="24">
        <v>89</v>
      </c>
      <c r="D55" s="24">
        <v>2819</v>
      </c>
      <c r="E55" s="24">
        <v>2894</v>
      </c>
      <c r="F55" s="24"/>
      <c r="G55" s="24"/>
      <c r="H55" s="24">
        <v>12780</v>
      </c>
      <c r="I55" s="24">
        <v>11795</v>
      </c>
      <c r="J55" s="24">
        <v>5919</v>
      </c>
      <c r="K55" s="24">
        <v>5657</v>
      </c>
      <c r="L55" s="24">
        <v>2834</v>
      </c>
      <c r="M55" s="24">
        <v>3254</v>
      </c>
      <c r="N55" s="24">
        <v>4695</v>
      </c>
      <c r="O55" s="24">
        <v>3443</v>
      </c>
      <c r="P55" s="24"/>
      <c r="Q55" s="24"/>
      <c r="R55" s="24">
        <v>212.47</v>
      </c>
      <c r="S55" s="24">
        <v>161.74</v>
      </c>
      <c r="T55" s="24">
        <v>3483.14</v>
      </c>
      <c r="U55" s="24">
        <v>3311.13</v>
      </c>
      <c r="V55" s="24">
        <v>-26975</v>
      </c>
      <c r="W55" s="24">
        <v>-24490</v>
      </c>
      <c r="X55" s="24">
        <v>23731</v>
      </c>
      <c r="Y55" s="24">
        <v>22789</v>
      </c>
      <c r="Z55" s="24"/>
      <c r="AA55" s="24">
        <v>6067</v>
      </c>
      <c r="AB55" s="24">
        <v>639</v>
      </c>
      <c r="AC55" s="24">
        <v>582</v>
      </c>
      <c r="AD55" s="24">
        <v>1528</v>
      </c>
      <c r="AE55" s="24">
        <v>1596</v>
      </c>
      <c r="AF55" s="24">
        <v>-377</v>
      </c>
      <c r="AG55" s="24">
        <v>-325</v>
      </c>
      <c r="AH55" s="24">
        <v>460.76</v>
      </c>
      <c r="AI55" s="24">
        <v>477.84</v>
      </c>
      <c r="AJ55" s="24"/>
      <c r="AK55" s="24">
        <v>36722.32</v>
      </c>
      <c r="AL55" s="24">
        <v>-218</v>
      </c>
      <c r="AM55" s="24">
        <v>-196</v>
      </c>
      <c r="AN55" s="24">
        <v>1078</v>
      </c>
      <c r="AO55" s="24">
        <v>1054</v>
      </c>
      <c r="AP55" s="24">
        <v>3</v>
      </c>
      <c r="AQ55" s="24">
        <v>4</v>
      </c>
      <c r="AR55" s="24">
        <v>6205</v>
      </c>
      <c r="AS55" s="24">
        <v>6343</v>
      </c>
      <c r="AT55" s="24">
        <v>2375</v>
      </c>
      <c r="AU55" s="24">
        <v>2353</v>
      </c>
      <c r="AV55" s="24">
        <v>48409</v>
      </c>
      <c r="AW55" s="24">
        <v>47417</v>
      </c>
      <c r="AX55" s="24"/>
      <c r="AY55" s="24">
        <v>931</v>
      </c>
      <c r="AZ55" s="24"/>
      <c r="BA55" s="24">
        <v>6613</v>
      </c>
      <c r="BB55" s="24">
        <v>15525</v>
      </c>
      <c r="BC55" s="24">
        <v>11355</v>
      </c>
      <c r="BD55" s="24"/>
      <c r="BE55" s="24">
        <v>41335</v>
      </c>
      <c r="BF55" s="24">
        <v>0</v>
      </c>
      <c r="BG55" s="24">
        <v>22600</v>
      </c>
      <c r="BH55" s="24"/>
      <c r="BI55" s="24"/>
      <c r="BJ55" s="24"/>
      <c r="BK55" s="24">
        <v>10123</v>
      </c>
      <c r="BL55" s="37">
        <f t="shared" si="4"/>
        <v>105233.37</v>
      </c>
      <c r="BM55" s="37">
        <f t="shared" si="4"/>
        <v>223956.03</v>
      </c>
    </row>
    <row r="56" spans="1:65" s="4" customFormat="1" x14ac:dyDescent="0.25">
      <c r="A56" s="38" t="s">
        <v>284</v>
      </c>
      <c r="B56" s="26">
        <v>67</v>
      </c>
      <c r="C56" s="26">
        <v>95</v>
      </c>
      <c r="D56" s="26">
        <v>-347</v>
      </c>
      <c r="E56" s="26">
        <v>403</v>
      </c>
      <c r="F56" s="26"/>
      <c r="G56" s="26"/>
      <c r="H56" s="26">
        <v>1695</v>
      </c>
      <c r="I56" s="26">
        <v>4631</v>
      </c>
      <c r="J56" s="26">
        <v>1898</v>
      </c>
      <c r="K56" s="26">
        <v>3540</v>
      </c>
      <c r="L56" s="26">
        <v>958</v>
      </c>
      <c r="M56" s="26">
        <v>1509</v>
      </c>
      <c r="N56" s="26">
        <v>774</v>
      </c>
      <c r="O56" s="26">
        <v>2652</v>
      </c>
      <c r="P56" s="26"/>
      <c r="Q56" s="26"/>
      <c r="R56" s="26">
        <v>147.12</v>
      </c>
      <c r="S56" s="26">
        <v>255.07</v>
      </c>
      <c r="T56" s="26">
        <v>1479.7</v>
      </c>
      <c r="U56" s="26">
        <v>2407.31</v>
      </c>
      <c r="V56" s="26">
        <v>2759</v>
      </c>
      <c r="W56" s="26">
        <v>7919</v>
      </c>
      <c r="X56" s="26">
        <v>4795</v>
      </c>
      <c r="Y56" s="26">
        <v>9854</v>
      </c>
      <c r="Z56" s="26">
        <v>2367</v>
      </c>
      <c r="AA56" s="26">
        <v>5446</v>
      </c>
      <c r="AB56" s="26">
        <v>197</v>
      </c>
      <c r="AC56" s="26">
        <v>290</v>
      </c>
      <c r="AD56" s="26">
        <v>338</v>
      </c>
      <c r="AE56" s="26">
        <v>455</v>
      </c>
      <c r="AF56" s="26">
        <v>15</v>
      </c>
      <c r="AG56" s="26">
        <v>83</v>
      </c>
      <c r="AH56" s="26">
        <v>104.01</v>
      </c>
      <c r="AI56" s="26">
        <v>188.74</v>
      </c>
      <c r="AJ56" s="26">
        <v>13635.95</v>
      </c>
      <c r="AK56" s="26">
        <v>17257.21</v>
      </c>
      <c r="AL56" s="26">
        <v>59</v>
      </c>
      <c r="AM56" s="26">
        <v>100</v>
      </c>
      <c r="AN56" s="26">
        <v>580</v>
      </c>
      <c r="AO56" s="26">
        <v>869</v>
      </c>
      <c r="AP56" s="26">
        <v>0</v>
      </c>
      <c r="AQ56" s="26">
        <v>0</v>
      </c>
      <c r="AR56" s="26">
        <v>1006</v>
      </c>
      <c r="AS56" s="26">
        <v>1613</v>
      </c>
      <c r="AT56" s="26">
        <v>536</v>
      </c>
      <c r="AU56" s="26">
        <v>1078</v>
      </c>
      <c r="AV56" s="26">
        <v>8121</v>
      </c>
      <c r="AW56" s="26">
        <v>14917</v>
      </c>
      <c r="AX56" s="26">
        <v>260</v>
      </c>
      <c r="AY56" s="26">
        <v>422</v>
      </c>
      <c r="AZ56" s="26">
        <v>-354</v>
      </c>
      <c r="BA56" s="26">
        <v>2803</v>
      </c>
      <c r="BB56" s="26">
        <v>5455</v>
      </c>
      <c r="BC56" s="26">
        <v>13003</v>
      </c>
      <c r="BD56" s="26"/>
      <c r="BE56" s="26">
        <v>39350</v>
      </c>
      <c r="BF56" s="26">
        <v>24348</v>
      </c>
      <c r="BG56" s="26">
        <v>29202</v>
      </c>
      <c r="BH56" s="26">
        <v>7393</v>
      </c>
      <c r="BI56" s="26">
        <v>13353</v>
      </c>
      <c r="BJ56" s="26">
        <v>-20</v>
      </c>
      <c r="BK56" s="26">
        <v>306</v>
      </c>
      <c r="BL56" s="39">
        <f t="shared" si="4"/>
        <v>78266.78</v>
      </c>
      <c r="BM56" s="39">
        <f t="shared" si="4"/>
        <v>174001.33</v>
      </c>
    </row>
    <row r="57" spans="1:65" x14ac:dyDescent="0.25">
      <c r="A57" s="2"/>
    </row>
    <row r="58" spans="1:65" x14ac:dyDescent="0.25">
      <c r="A58" s="8" t="s">
        <v>317</v>
      </c>
    </row>
    <row r="59" spans="1:65" x14ac:dyDescent="0.25">
      <c r="A59" s="38" t="s">
        <v>0</v>
      </c>
      <c r="B59" s="94" t="s">
        <v>1</v>
      </c>
      <c r="C59" s="95"/>
      <c r="D59" s="94" t="s">
        <v>232</v>
      </c>
      <c r="E59" s="95"/>
      <c r="F59" s="94" t="s">
        <v>2</v>
      </c>
      <c r="G59" s="95"/>
      <c r="H59" s="94" t="s">
        <v>3</v>
      </c>
      <c r="I59" s="95"/>
      <c r="J59" s="94" t="s">
        <v>241</v>
      </c>
      <c r="K59" s="95"/>
      <c r="L59" s="94" t="s">
        <v>233</v>
      </c>
      <c r="M59" s="95"/>
      <c r="N59" s="94" t="s">
        <v>246</v>
      </c>
      <c r="O59" s="95"/>
      <c r="P59" s="94" t="s">
        <v>5</v>
      </c>
      <c r="Q59" s="95"/>
      <c r="R59" s="94" t="s">
        <v>4</v>
      </c>
      <c r="S59" s="95"/>
      <c r="T59" s="94" t="s">
        <v>6</v>
      </c>
      <c r="U59" s="95"/>
      <c r="V59" s="94" t="s">
        <v>7</v>
      </c>
      <c r="W59" s="95"/>
      <c r="X59" s="94" t="s">
        <v>8</v>
      </c>
      <c r="Y59" s="95"/>
      <c r="Z59" s="94" t="s">
        <v>9</v>
      </c>
      <c r="AA59" s="95"/>
      <c r="AB59" s="94" t="s">
        <v>240</v>
      </c>
      <c r="AC59" s="95"/>
      <c r="AD59" s="94" t="s">
        <v>10</v>
      </c>
      <c r="AE59" s="95"/>
      <c r="AF59" s="94" t="s">
        <v>11</v>
      </c>
      <c r="AG59" s="95"/>
      <c r="AH59" s="94" t="s">
        <v>234</v>
      </c>
      <c r="AI59" s="95"/>
      <c r="AJ59" s="94" t="s">
        <v>12</v>
      </c>
      <c r="AK59" s="95"/>
      <c r="AL59" s="94" t="s">
        <v>235</v>
      </c>
      <c r="AM59" s="95"/>
      <c r="AN59" s="94" t="s">
        <v>300</v>
      </c>
      <c r="AO59" s="95"/>
      <c r="AP59" s="94" t="s">
        <v>236</v>
      </c>
      <c r="AQ59" s="95"/>
      <c r="AR59" s="94" t="s">
        <v>239</v>
      </c>
      <c r="AS59" s="95"/>
      <c r="AT59" s="94" t="s">
        <v>13</v>
      </c>
      <c r="AU59" s="95"/>
      <c r="AV59" s="94" t="s">
        <v>14</v>
      </c>
      <c r="AW59" s="95"/>
      <c r="AX59" s="94" t="s">
        <v>15</v>
      </c>
      <c r="AY59" s="95"/>
      <c r="AZ59" s="94" t="s">
        <v>16</v>
      </c>
      <c r="BA59" s="95"/>
      <c r="BB59" s="94" t="s">
        <v>17</v>
      </c>
      <c r="BC59" s="95"/>
      <c r="BD59" s="94" t="s">
        <v>237</v>
      </c>
      <c r="BE59" s="95"/>
      <c r="BF59" s="94" t="s">
        <v>238</v>
      </c>
      <c r="BG59" s="95"/>
      <c r="BH59" s="94" t="s">
        <v>18</v>
      </c>
      <c r="BI59" s="95"/>
      <c r="BJ59" s="94" t="s">
        <v>19</v>
      </c>
      <c r="BK59" s="95"/>
      <c r="BL59" s="96" t="s">
        <v>20</v>
      </c>
      <c r="BM59" s="97"/>
    </row>
    <row r="60" spans="1:65" ht="30" x14ac:dyDescent="0.25">
      <c r="A60" s="38"/>
      <c r="B60" s="34" t="s">
        <v>298</v>
      </c>
      <c r="C60" s="35" t="s">
        <v>299</v>
      </c>
      <c r="D60" s="34" t="s">
        <v>298</v>
      </c>
      <c r="E60" s="35" t="s">
        <v>299</v>
      </c>
      <c r="F60" s="34" t="s">
        <v>298</v>
      </c>
      <c r="G60" s="35" t="s">
        <v>299</v>
      </c>
      <c r="H60" s="34" t="s">
        <v>298</v>
      </c>
      <c r="I60" s="35" t="s">
        <v>299</v>
      </c>
      <c r="J60" s="34" t="s">
        <v>298</v>
      </c>
      <c r="K60" s="35" t="s">
        <v>299</v>
      </c>
      <c r="L60" s="34" t="s">
        <v>298</v>
      </c>
      <c r="M60" s="35" t="s">
        <v>299</v>
      </c>
      <c r="N60" s="34" t="s">
        <v>298</v>
      </c>
      <c r="O60" s="35" t="s">
        <v>299</v>
      </c>
      <c r="P60" s="34" t="s">
        <v>298</v>
      </c>
      <c r="Q60" s="35" t="s">
        <v>299</v>
      </c>
      <c r="R60" s="34" t="s">
        <v>298</v>
      </c>
      <c r="S60" s="35" t="s">
        <v>299</v>
      </c>
      <c r="T60" s="34" t="s">
        <v>298</v>
      </c>
      <c r="U60" s="35" t="s">
        <v>299</v>
      </c>
      <c r="V60" s="34" t="s">
        <v>298</v>
      </c>
      <c r="W60" s="35" t="s">
        <v>299</v>
      </c>
      <c r="X60" s="34" t="s">
        <v>298</v>
      </c>
      <c r="Y60" s="35" t="s">
        <v>299</v>
      </c>
      <c r="Z60" s="34" t="s">
        <v>298</v>
      </c>
      <c r="AA60" s="35" t="s">
        <v>299</v>
      </c>
      <c r="AB60" s="34" t="s">
        <v>298</v>
      </c>
      <c r="AC60" s="35" t="s">
        <v>299</v>
      </c>
      <c r="AD60" s="34" t="s">
        <v>298</v>
      </c>
      <c r="AE60" s="35" t="s">
        <v>299</v>
      </c>
      <c r="AF60" s="34" t="s">
        <v>298</v>
      </c>
      <c r="AG60" s="35" t="s">
        <v>299</v>
      </c>
      <c r="AH60" s="34" t="s">
        <v>298</v>
      </c>
      <c r="AI60" s="35" t="s">
        <v>299</v>
      </c>
      <c r="AJ60" s="34" t="s">
        <v>298</v>
      </c>
      <c r="AK60" s="35" t="s">
        <v>299</v>
      </c>
      <c r="AL60" s="34" t="s">
        <v>298</v>
      </c>
      <c r="AM60" s="35" t="s">
        <v>299</v>
      </c>
      <c r="AN60" s="34" t="s">
        <v>298</v>
      </c>
      <c r="AO60" s="35" t="s">
        <v>299</v>
      </c>
      <c r="AP60" s="34" t="s">
        <v>298</v>
      </c>
      <c r="AQ60" s="35" t="s">
        <v>299</v>
      </c>
      <c r="AR60" s="34" t="s">
        <v>298</v>
      </c>
      <c r="AS60" s="35" t="s">
        <v>299</v>
      </c>
      <c r="AT60" s="34" t="s">
        <v>298</v>
      </c>
      <c r="AU60" s="35" t="s">
        <v>299</v>
      </c>
      <c r="AV60" s="34" t="s">
        <v>298</v>
      </c>
      <c r="AW60" s="35" t="s">
        <v>299</v>
      </c>
      <c r="AX60" s="34" t="s">
        <v>298</v>
      </c>
      <c r="AY60" s="35" t="s">
        <v>299</v>
      </c>
      <c r="AZ60" s="34" t="s">
        <v>298</v>
      </c>
      <c r="BA60" s="35" t="s">
        <v>299</v>
      </c>
      <c r="BB60" s="34" t="s">
        <v>298</v>
      </c>
      <c r="BC60" s="35" t="s">
        <v>299</v>
      </c>
      <c r="BD60" s="34" t="s">
        <v>298</v>
      </c>
      <c r="BE60" s="35" t="s">
        <v>299</v>
      </c>
      <c r="BF60" s="34" t="s">
        <v>298</v>
      </c>
      <c r="BG60" s="35" t="s">
        <v>299</v>
      </c>
      <c r="BH60" s="34" t="s">
        <v>298</v>
      </c>
      <c r="BI60" s="35" t="s">
        <v>299</v>
      </c>
      <c r="BJ60" s="34" t="s">
        <v>298</v>
      </c>
      <c r="BK60" s="35" t="s">
        <v>299</v>
      </c>
      <c r="BL60" s="34" t="s">
        <v>298</v>
      </c>
      <c r="BM60" s="35" t="s">
        <v>299</v>
      </c>
    </row>
    <row r="61" spans="1:65" x14ac:dyDescent="0.25">
      <c r="A61" s="36" t="s">
        <v>278</v>
      </c>
      <c r="B61" s="24">
        <v>1340</v>
      </c>
      <c r="C61" s="24">
        <v>2307</v>
      </c>
      <c r="E61" s="24"/>
      <c r="F61" s="24"/>
      <c r="G61" s="24"/>
      <c r="H61" s="24">
        <v>518</v>
      </c>
      <c r="I61" s="24">
        <v>1024</v>
      </c>
      <c r="J61" s="24"/>
      <c r="K61" s="24"/>
      <c r="L61" s="24">
        <v>56</v>
      </c>
      <c r="M61" s="24">
        <v>67</v>
      </c>
      <c r="N61" s="24"/>
      <c r="O61" s="24"/>
      <c r="P61" s="24"/>
      <c r="Q61" s="24"/>
      <c r="R61" s="24"/>
      <c r="S61" s="24"/>
      <c r="T61" s="24">
        <v>234.34</v>
      </c>
      <c r="U61" s="24">
        <v>239.34</v>
      </c>
      <c r="V61" s="24"/>
      <c r="W61" s="24"/>
      <c r="X61" s="24">
        <v>521</v>
      </c>
      <c r="Y61" s="24">
        <v>760</v>
      </c>
      <c r="Z61" s="24">
        <v>154</v>
      </c>
      <c r="AA61" s="24">
        <v>156</v>
      </c>
      <c r="AB61" s="24"/>
      <c r="AC61" s="24"/>
      <c r="AD61" s="24">
        <v>4</v>
      </c>
      <c r="AE61" s="24">
        <v>8</v>
      </c>
      <c r="AF61" s="24"/>
      <c r="AG61" s="24"/>
      <c r="AH61" s="24"/>
      <c r="AI61" s="24"/>
      <c r="AJ61" s="24">
        <v>222.59</v>
      </c>
      <c r="AK61" s="24">
        <v>344.32</v>
      </c>
      <c r="AL61" s="24"/>
      <c r="AM61" s="24"/>
      <c r="AN61" s="24"/>
      <c r="AO61" s="24"/>
      <c r="AP61" s="24">
        <v>1050</v>
      </c>
      <c r="AQ61" s="24">
        <v>1232</v>
      </c>
      <c r="AR61" s="24">
        <v>15</v>
      </c>
      <c r="AS61" s="24">
        <v>22</v>
      </c>
      <c r="AT61" s="24">
        <v>4</v>
      </c>
      <c r="AU61" s="24">
        <v>17</v>
      </c>
      <c r="AV61" s="24">
        <v>699</v>
      </c>
      <c r="AW61" s="24">
        <v>734</v>
      </c>
      <c r="AX61" s="24"/>
      <c r="AY61" s="24"/>
      <c r="AZ61" s="24"/>
      <c r="BA61" s="24"/>
      <c r="BB61" s="24">
        <v>-136</v>
      </c>
      <c r="BC61" s="24">
        <v>801</v>
      </c>
      <c r="BD61" s="24"/>
      <c r="BE61" s="24">
        <v>3885</v>
      </c>
      <c r="BF61" s="24">
        <v>179</v>
      </c>
      <c r="BG61" s="24">
        <v>382</v>
      </c>
      <c r="BH61" s="24">
        <v>367</v>
      </c>
      <c r="BI61" s="24">
        <v>942</v>
      </c>
      <c r="BJ61" s="24"/>
      <c r="BK61" s="24">
        <v>0</v>
      </c>
      <c r="BL61" s="37">
        <f t="shared" ref="BL61:BM67" si="5">SUM(B61+D61+F61+H61+J61+L61+N61+P61+R61+T61+V61+X61+Z61+AB61+AD61+AF61+AH61+AJ61+AL61+AN61+AP61+AR61+AT61+AV61+AX61+AZ61+BB61+BD61+BF61+BH61+BJ61)</f>
        <v>5227.93</v>
      </c>
      <c r="BM61" s="37">
        <f t="shared" si="5"/>
        <v>12920.66</v>
      </c>
    </row>
    <row r="62" spans="1:65" x14ac:dyDescent="0.25">
      <c r="A62" s="36" t="s">
        <v>279</v>
      </c>
      <c r="B62" s="24"/>
      <c r="C62" s="24"/>
      <c r="D62" s="24"/>
      <c r="E62" s="24"/>
      <c r="F62" s="24"/>
      <c r="G62" s="24"/>
      <c r="H62" s="24"/>
      <c r="I62" s="24"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>
        <v>8</v>
      </c>
      <c r="AQ62" s="24">
        <v>8</v>
      </c>
      <c r="AR62" s="24"/>
      <c r="AS62" s="24"/>
      <c r="AT62" s="24"/>
      <c r="AU62" s="24"/>
      <c r="AV62" s="24"/>
      <c r="AW62" s="24">
        <v>0</v>
      </c>
      <c r="AX62" s="24"/>
      <c r="AY62" s="24"/>
      <c r="AZ62" s="24"/>
      <c r="BA62" s="24"/>
      <c r="BB62" s="24">
        <v>1101</v>
      </c>
      <c r="BC62" s="24">
        <v>1103</v>
      </c>
      <c r="BD62" s="24"/>
      <c r="BE62" s="24">
        <v>0</v>
      </c>
      <c r="BF62" s="24">
        <v>12</v>
      </c>
      <c r="BG62" s="24">
        <v>18</v>
      </c>
      <c r="BH62" s="24">
        <v>13</v>
      </c>
      <c r="BI62" s="24">
        <v>26</v>
      </c>
      <c r="BJ62" s="24"/>
      <c r="BK62" s="24"/>
      <c r="BL62" s="37">
        <f t="shared" si="5"/>
        <v>1134</v>
      </c>
      <c r="BM62" s="37">
        <f t="shared" si="5"/>
        <v>1155</v>
      </c>
    </row>
    <row r="63" spans="1:65" x14ac:dyDescent="0.25">
      <c r="A63" s="36" t="s">
        <v>280</v>
      </c>
      <c r="B63" s="24">
        <v>777</v>
      </c>
      <c r="C63" s="24">
        <v>1861</v>
      </c>
      <c r="D63" s="24"/>
      <c r="E63" s="24"/>
      <c r="F63" s="24"/>
      <c r="G63" s="24"/>
      <c r="H63" s="24">
        <v>-512</v>
      </c>
      <c r="I63" s="24">
        <v>-1012</v>
      </c>
      <c r="J63" s="24"/>
      <c r="K63" s="24"/>
      <c r="L63" s="24">
        <v>33</v>
      </c>
      <c r="M63" s="24">
        <v>39</v>
      </c>
      <c r="N63" s="24"/>
      <c r="O63" s="24"/>
      <c r="P63" s="24"/>
      <c r="Q63" s="24"/>
      <c r="R63" s="24"/>
      <c r="S63" s="24"/>
      <c r="T63" s="24">
        <v>38.14</v>
      </c>
      <c r="U63" s="24">
        <v>38.9</v>
      </c>
      <c r="V63" s="24"/>
      <c r="W63" s="24"/>
      <c r="X63" s="24">
        <v>223</v>
      </c>
      <c r="Y63" s="24">
        <v>329</v>
      </c>
      <c r="Z63" s="24">
        <v>8</v>
      </c>
      <c r="AA63" s="24">
        <v>8</v>
      </c>
      <c r="AB63" s="24"/>
      <c r="AC63" s="24"/>
      <c r="AD63" s="24">
        <v>0</v>
      </c>
      <c r="AE63" s="24">
        <v>0</v>
      </c>
      <c r="AF63" s="24"/>
      <c r="AG63" s="24"/>
      <c r="AH63" s="24"/>
      <c r="AI63" s="24"/>
      <c r="AJ63" s="24">
        <v>52.92</v>
      </c>
      <c r="AK63" s="24">
        <v>90.83</v>
      </c>
      <c r="AL63" s="24"/>
      <c r="AM63" s="24"/>
      <c r="AN63" s="24"/>
      <c r="AO63" s="24"/>
      <c r="AP63" s="24">
        <v>977</v>
      </c>
      <c r="AQ63" s="24">
        <v>995</v>
      </c>
      <c r="AR63" s="24">
        <v>1</v>
      </c>
      <c r="AS63" s="24">
        <v>1</v>
      </c>
      <c r="AT63" s="24">
        <v>0</v>
      </c>
      <c r="AU63" s="24">
        <v>1</v>
      </c>
      <c r="AV63" s="24">
        <v>604</v>
      </c>
      <c r="AW63" s="24">
        <v>634</v>
      </c>
      <c r="AX63" s="24"/>
      <c r="AY63" s="24"/>
      <c r="AZ63" s="24"/>
      <c r="BA63" s="24"/>
      <c r="BB63" s="24">
        <v>329</v>
      </c>
      <c r="BC63" s="24">
        <v>669</v>
      </c>
      <c r="BD63" s="24"/>
      <c r="BE63" s="24">
        <v>69</v>
      </c>
      <c r="BF63" s="24">
        <v>10</v>
      </c>
      <c r="BG63" s="24">
        <v>37</v>
      </c>
      <c r="BH63" s="24">
        <v>144</v>
      </c>
      <c r="BI63" s="24">
        <v>178</v>
      </c>
      <c r="BJ63" s="24"/>
      <c r="BK63" s="24">
        <v>0</v>
      </c>
      <c r="BL63" s="37">
        <f t="shared" si="5"/>
        <v>2685.06</v>
      </c>
      <c r="BM63" s="37">
        <f t="shared" si="5"/>
        <v>3938.73</v>
      </c>
    </row>
    <row r="64" spans="1:65" s="4" customFormat="1" x14ac:dyDescent="0.25">
      <c r="A64" s="38" t="s">
        <v>281</v>
      </c>
      <c r="B64" s="26">
        <v>563</v>
      </c>
      <c r="C64" s="26">
        <v>446</v>
      </c>
      <c r="D64" s="26"/>
      <c r="E64" s="26"/>
      <c r="F64" s="26"/>
      <c r="G64" s="26"/>
      <c r="H64" s="26">
        <v>6</v>
      </c>
      <c r="I64" s="26">
        <v>12</v>
      </c>
      <c r="J64" s="26"/>
      <c r="K64" s="26"/>
      <c r="L64" s="26">
        <v>24</v>
      </c>
      <c r="M64" s="26">
        <v>28</v>
      </c>
      <c r="N64" s="26"/>
      <c r="O64" s="26"/>
      <c r="P64" s="26"/>
      <c r="Q64" s="26"/>
      <c r="R64" s="26"/>
      <c r="S64" s="26"/>
      <c r="T64" s="26">
        <v>196.2</v>
      </c>
      <c r="U64" s="26">
        <v>200.44</v>
      </c>
      <c r="V64" s="26"/>
      <c r="W64" s="26"/>
      <c r="X64" s="26">
        <v>298</v>
      </c>
      <c r="Y64" s="26">
        <v>431</v>
      </c>
      <c r="Z64" s="26">
        <v>146</v>
      </c>
      <c r="AA64" s="26">
        <v>148</v>
      </c>
      <c r="AB64" s="26"/>
      <c r="AC64" s="26"/>
      <c r="AD64" s="26">
        <v>4</v>
      </c>
      <c r="AE64" s="26">
        <v>7</v>
      </c>
      <c r="AF64" s="26"/>
      <c r="AG64" s="26"/>
      <c r="AH64" s="26"/>
      <c r="AI64" s="26"/>
      <c r="AJ64" s="26">
        <v>169.67</v>
      </c>
      <c r="AK64" s="26">
        <v>253.49</v>
      </c>
      <c r="AL64" s="26"/>
      <c r="AM64" s="26"/>
      <c r="AN64" s="26"/>
      <c r="AO64" s="26"/>
      <c r="AP64" s="26">
        <v>81</v>
      </c>
      <c r="AQ64" s="26">
        <v>246</v>
      </c>
      <c r="AR64" s="26">
        <v>14</v>
      </c>
      <c r="AS64" s="26">
        <v>21</v>
      </c>
      <c r="AT64" s="26">
        <v>4</v>
      </c>
      <c r="AU64" s="26">
        <v>16</v>
      </c>
      <c r="AV64" s="26">
        <v>95</v>
      </c>
      <c r="AW64" s="26">
        <v>100</v>
      </c>
      <c r="AX64" s="26"/>
      <c r="AY64" s="26"/>
      <c r="AZ64" s="26"/>
      <c r="BA64" s="26"/>
      <c r="BB64" s="26">
        <v>636</v>
      </c>
      <c r="BC64" s="26">
        <v>1235</v>
      </c>
      <c r="BD64" s="26"/>
      <c r="BE64" s="26">
        <v>3815</v>
      </c>
      <c r="BF64" s="26">
        <v>180</v>
      </c>
      <c r="BG64" s="26">
        <v>363</v>
      </c>
      <c r="BH64" s="26">
        <v>236</v>
      </c>
      <c r="BI64" s="26">
        <v>791</v>
      </c>
      <c r="BJ64" s="26"/>
      <c r="BK64" s="26">
        <v>0</v>
      </c>
      <c r="BL64" s="39">
        <f t="shared" si="5"/>
        <v>2652.87</v>
      </c>
      <c r="BM64" s="39">
        <f t="shared" si="5"/>
        <v>8112.93</v>
      </c>
    </row>
    <row r="65" spans="1:65" x14ac:dyDescent="0.25">
      <c r="A65" s="36" t="s">
        <v>282</v>
      </c>
      <c r="B65" s="24">
        <v>395</v>
      </c>
      <c r="C65" s="24">
        <v>395</v>
      </c>
      <c r="D65" s="24"/>
      <c r="E65" s="24"/>
      <c r="F65" s="24"/>
      <c r="G65" s="24"/>
      <c r="H65" s="24">
        <v>1612</v>
      </c>
      <c r="I65" s="24">
        <v>1612</v>
      </c>
      <c r="J65" s="24"/>
      <c r="K65" s="24"/>
      <c r="L65" s="24">
        <v>206</v>
      </c>
      <c r="M65" s="24">
        <v>206</v>
      </c>
      <c r="N65" s="24">
        <v>2</v>
      </c>
      <c r="O65" s="24">
        <v>2</v>
      </c>
      <c r="P65" s="24"/>
      <c r="Q65" s="24"/>
      <c r="R65" s="24">
        <v>0.05</v>
      </c>
      <c r="S65" s="24">
        <v>0.05</v>
      </c>
      <c r="T65" s="24">
        <v>854.99</v>
      </c>
      <c r="U65" s="24">
        <v>854.99</v>
      </c>
      <c r="V65" s="24">
        <v>252</v>
      </c>
      <c r="W65" s="24">
        <v>252</v>
      </c>
      <c r="X65" s="24">
        <v>5090</v>
      </c>
      <c r="Y65" s="24">
        <v>5090</v>
      </c>
      <c r="Z65" s="24">
        <v>-69</v>
      </c>
      <c r="AA65" s="24">
        <v>2654</v>
      </c>
      <c r="AB65" s="24"/>
      <c r="AC65" s="24"/>
      <c r="AD65" s="24">
        <v>848</v>
      </c>
      <c r="AE65" s="24">
        <v>848</v>
      </c>
      <c r="AF65" s="24">
        <v>18</v>
      </c>
      <c r="AG65" s="24">
        <v>18</v>
      </c>
      <c r="AH65" s="24"/>
      <c r="AI65" s="24"/>
      <c r="AJ65" s="24">
        <v>1.23</v>
      </c>
      <c r="AK65" s="24">
        <v>4377.62</v>
      </c>
      <c r="AL65" s="24"/>
      <c r="AM65" s="24"/>
      <c r="AN65" s="24"/>
      <c r="AO65" s="24"/>
      <c r="AP65" s="24">
        <v>6943</v>
      </c>
      <c r="AQ65" s="24">
        <v>6943</v>
      </c>
      <c r="AR65" s="24">
        <v>2268</v>
      </c>
      <c r="AS65" s="24">
        <v>2268</v>
      </c>
      <c r="AT65" s="24">
        <v>169</v>
      </c>
      <c r="AU65" s="24">
        <v>169</v>
      </c>
      <c r="AV65" s="24">
        <v>1873</v>
      </c>
      <c r="AW65" s="24">
        <v>1873</v>
      </c>
      <c r="AX65" s="24">
        <v>3</v>
      </c>
      <c r="AY65" s="24">
        <v>67</v>
      </c>
      <c r="AZ65" s="24"/>
      <c r="BA65" s="24"/>
      <c r="BB65" s="24">
        <v>23580</v>
      </c>
      <c r="BC65" s="24">
        <v>23580</v>
      </c>
      <c r="BD65" s="24"/>
      <c r="BE65" s="24">
        <v>19170</v>
      </c>
      <c r="BF65" s="24">
        <v>112</v>
      </c>
      <c r="BG65" s="24">
        <v>7234</v>
      </c>
      <c r="BH65" s="24"/>
      <c r="BI65" s="24"/>
      <c r="BJ65" s="24">
        <v>21</v>
      </c>
      <c r="BK65" s="24">
        <v>116</v>
      </c>
      <c r="BL65" s="37">
        <f t="shared" si="5"/>
        <v>44179.270000000004</v>
      </c>
      <c r="BM65" s="37">
        <f t="shared" si="5"/>
        <v>77729.66</v>
      </c>
    </row>
    <row r="66" spans="1:65" ht="15" customHeight="1" x14ac:dyDescent="0.25">
      <c r="A66" s="36" t="s">
        <v>283</v>
      </c>
      <c r="B66" s="24">
        <v>360</v>
      </c>
      <c r="C66" s="24">
        <v>333</v>
      </c>
      <c r="D66" s="24"/>
      <c r="E66" s="24"/>
      <c r="F66" s="24"/>
      <c r="G66" s="24"/>
      <c r="H66" s="24">
        <v>1634</v>
      </c>
      <c r="I66" s="24">
        <v>1435</v>
      </c>
      <c r="J66" s="24"/>
      <c r="K66" s="24"/>
      <c r="L66" s="24">
        <v>229</v>
      </c>
      <c r="M66" s="24">
        <v>253</v>
      </c>
      <c r="N66" s="24">
        <v>2</v>
      </c>
      <c r="O66" s="24">
        <v>1</v>
      </c>
      <c r="P66" s="24"/>
      <c r="Q66" s="24"/>
      <c r="R66" s="24">
        <v>0.04</v>
      </c>
      <c r="S66" s="24">
        <v>0.04</v>
      </c>
      <c r="T66" s="24">
        <v>767.15</v>
      </c>
      <c r="U66" s="24">
        <v>687.26</v>
      </c>
      <c r="V66" s="24">
        <v>-249</v>
      </c>
      <c r="W66" s="24">
        <v>-245</v>
      </c>
      <c r="X66" s="24">
        <v>4506</v>
      </c>
      <c r="Y66" s="24">
        <v>3897</v>
      </c>
      <c r="Z66" s="24"/>
      <c r="AA66" s="24">
        <v>2680</v>
      </c>
      <c r="AB66" s="24"/>
      <c r="AC66" s="24"/>
      <c r="AD66" s="24">
        <v>850</v>
      </c>
      <c r="AE66" s="24">
        <v>848</v>
      </c>
      <c r="AF66" s="24">
        <v>-18</v>
      </c>
      <c r="AG66" s="24">
        <v>-18</v>
      </c>
      <c r="AH66" s="24"/>
      <c r="AI66" s="24"/>
      <c r="AJ66" s="24"/>
      <c r="AK66" s="24">
        <v>4708.8599999999997</v>
      </c>
      <c r="AL66" s="24"/>
      <c r="AM66" s="24"/>
      <c r="AN66" s="24"/>
      <c r="AO66" s="24"/>
      <c r="AP66" s="24">
        <v>6556</v>
      </c>
      <c r="AQ66" s="24">
        <v>6204</v>
      </c>
      <c r="AR66" s="24">
        <v>2197</v>
      </c>
      <c r="AS66" s="24">
        <v>2135</v>
      </c>
      <c r="AT66" s="24">
        <v>149</v>
      </c>
      <c r="AU66" s="24">
        <v>60</v>
      </c>
      <c r="AV66" s="24">
        <v>1662</v>
      </c>
      <c r="AW66" s="24">
        <v>1551</v>
      </c>
      <c r="AX66" s="24"/>
      <c r="AY66" s="24">
        <v>61</v>
      </c>
      <c r="AZ66" s="24"/>
      <c r="BA66" s="24"/>
      <c r="BB66" s="24">
        <v>23921</v>
      </c>
      <c r="BC66" s="24">
        <v>23824</v>
      </c>
      <c r="BD66" s="24"/>
      <c r="BE66" s="24">
        <v>15444</v>
      </c>
      <c r="BF66" s="24">
        <v>0</v>
      </c>
      <c r="BG66" s="24">
        <v>6327</v>
      </c>
      <c r="BH66" s="24"/>
      <c r="BI66" s="24"/>
      <c r="BJ66" s="24"/>
      <c r="BK66" s="24">
        <v>71</v>
      </c>
      <c r="BL66" s="37">
        <f t="shared" si="5"/>
        <v>42566.19</v>
      </c>
      <c r="BM66" s="37">
        <f t="shared" si="5"/>
        <v>70257.16</v>
      </c>
    </row>
    <row r="67" spans="1:65" s="4" customFormat="1" x14ac:dyDescent="0.25">
      <c r="A67" s="38" t="s">
        <v>284</v>
      </c>
      <c r="B67" s="26">
        <v>598</v>
      </c>
      <c r="C67" s="26">
        <v>508</v>
      </c>
      <c r="D67" s="26"/>
      <c r="E67" s="26"/>
      <c r="F67" s="26"/>
      <c r="G67" s="26"/>
      <c r="H67" s="26">
        <v>-16</v>
      </c>
      <c r="I67" s="26">
        <v>189</v>
      </c>
      <c r="J67" s="26"/>
      <c r="K67" s="26"/>
      <c r="L67" s="26">
        <v>1</v>
      </c>
      <c r="M67" s="26">
        <v>-19</v>
      </c>
      <c r="N67" s="26"/>
      <c r="O67" s="26">
        <v>1</v>
      </c>
      <c r="P67" s="26"/>
      <c r="Q67" s="26"/>
      <c r="R67" s="26">
        <v>0.01</v>
      </c>
      <c r="S67" s="26">
        <v>0.01</v>
      </c>
      <c r="T67" s="26">
        <v>284.05</v>
      </c>
      <c r="U67" s="26">
        <v>368.17</v>
      </c>
      <c r="V67" s="26">
        <v>3</v>
      </c>
      <c r="W67" s="26">
        <v>7</v>
      </c>
      <c r="X67" s="26">
        <v>882</v>
      </c>
      <c r="Y67" s="26">
        <v>1624</v>
      </c>
      <c r="Z67" s="26">
        <v>77</v>
      </c>
      <c r="AA67" s="26">
        <v>122</v>
      </c>
      <c r="AB67" s="26"/>
      <c r="AC67" s="26"/>
      <c r="AD67" s="26">
        <v>1</v>
      </c>
      <c r="AE67" s="26">
        <v>7</v>
      </c>
      <c r="AF67" s="26">
        <v>0</v>
      </c>
      <c r="AG67" s="26">
        <v>0</v>
      </c>
      <c r="AH67" s="26"/>
      <c r="AI67" s="26"/>
      <c r="AJ67" s="26">
        <v>170.9</v>
      </c>
      <c r="AK67" s="26">
        <v>-77.75</v>
      </c>
      <c r="AL67" s="26"/>
      <c r="AM67" s="26"/>
      <c r="AN67" s="26"/>
      <c r="AO67" s="26"/>
      <c r="AP67" s="26">
        <v>468</v>
      </c>
      <c r="AQ67" s="26">
        <v>984</v>
      </c>
      <c r="AR67" s="26">
        <v>84</v>
      </c>
      <c r="AS67" s="26">
        <v>153</v>
      </c>
      <c r="AT67" s="26">
        <v>23</v>
      </c>
      <c r="AU67" s="26">
        <v>125</v>
      </c>
      <c r="AV67" s="26">
        <v>306</v>
      </c>
      <c r="AW67" s="26">
        <v>422</v>
      </c>
      <c r="AX67" s="26">
        <v>3</v>
      </c>
      <c r="AY67" s="26">
        <v>6</v>
      </c>
      <c r="AZ67" s="26"/>
      <c r="BA67" s="26"/>
      <c r="BB67" s="26">
        <v>296</v>
      </c>
      <c r="BC67" s="26">
        <v>991</v>
      </c>
      <c r="BD67" s="26"/>
      <c r="BE67" s="26">
        <v>7541</v>
      </c>
      <c r="BF67" s="26">
        <v>293</v>
      </c>
      <c r="BG67" s="26">
        <v>1270</v>
      </c>
      <c r="BH67" s="26">
        <v>1714</v>
      </c>
      <c r="BI67" s="26">
        <v>1234</v>
      </c>
      <c r="BJ67" s="26">
        <v>21</v>
      </c>
      <c r="BK67" s="26">
        <v>45</v>
      </c>
      <c r="BL67" s="39">
        <f t="shared" si="5"/>
        <v>5208.96</v>
      </c>
      <c r="BM67" s="39">
        <f t="shared" si="5"/>
        <v>15500.43</v>
      </c>
    </row>
    <row r="68" spans="1:65" x14ac:dyDescent="0.25">
      <c r="A68" s="2"/>
    </row>
    <row r="69" spans="1:65" x14ac:dyDescent="0.25">
      <c r="A69" s="8" t="s">
        <v>185</v>
      </c>
    </row>
    <row r="70" spans="1:65" x14ac:dyDescent="0.25">
      <c r="A70" s="38" t="s">
        <v>0</v>
      </c>
      <c r="B70" s="94" t="s">
        <v>1</v>
      </c>
      <c r="C70" s="95"/>
      <c r="D70" s="94" t="s">
        <v>232</v>
      </c>
      <c r="E70" s="95"/>
      <c r="F70" s="94" t="s">
        <v>2</v>
      </c>
      <c r="G70" s="95"/>
      <c r="H70" s="94" t="s">
        <v>3</v>
      </c>
      <c r="I70" s="95"/>
      <c r="J70" s="94" t="s">
        <v>241</v>
      </c>
      <c r="K70" s="95"/>
      <c r="L70" s="94" t="s">
        <v>233</v>
      </c>
      <c r="M70" s="95"/>
      <c r="N70" s="94" t="s">
        <v>246</v>
      </c>
      <c r="O70" s="95"/>
      <c r="P70" s="94" t="s">
        <v>5</v>
      </c>
      <c r="Q70" s="95"/>
      <c r="R70" s="94" t="s">
        <v>4</v>
      </c>
      <c r="S70" s="95"/>
      <c r="T70" s="94" t="s">
        <v>6</v>
      </c>
      <c r="U70" s="95"/>
      <c r="V70" s="94" t="s">
        <v>7</v>
      </c>
      <c r="W70" s="95"/>
      <c r="X70" s="94" t="s">
        <v>8</v>
      </c>
      <c r="Y70" s="95"/>
      <c r="Z70" s="94" t="s">
        <v>9</v>
      </c>
      <c r="AA70" s="95"/>
      <c r="AB70" s="94" t="s">
        <v>240</v>
      </c>
      <c r="AC70" s="95"/>
      <c r="AD70" s="94" t="s">
        <v>10</v>
      </c>
      <c r="AE70" s="95"/>
      <c r="AF70" s="94" t="s">
        <v>11</v>
      </c>
      <c r="AG70" s="95"/>
      <c r="AH70" s="94" t="s">
        <v>234</v>
      </c>
      <c r="AI70" s="95"/>
      <c r="AJ70" s="94" t="s">
        <v>12</v>
      </c>
      <c r="AK70" s="95"/>
      <c r="AL70" s="94" t="s">
        <v>235</v>
      </c>
      <c r="AM70" s="95"/>
      <c r="AN70" s="94" t="s">
        <v>300</v>
      </c>
      <c r="AO70" s="95"/>
      <c r="AP70" s="94" t="s">
        <v>236</v>
      </c>
      <c r="AQ70" s="95"/>
      <c r="AR70" s="94" t="s">
        <v>239</v>
      </c>
      <c r="AS70" s="95"/>
      <c r="AT70" s="94" t="s">
        <v>13</v>
      </c>
      <c r="AU70" s="95"/>
      <c r="AV70" s="94" t="s">
        <v>14</v>
      </c>
      <c r="AW70" s="95"/>
      <c r="AX70" s="94" t="s">
        <v>15</v>
      </c>
      <c r="AY70" s="95"/>
      <c r="AZ70" s="94" t="s">
        <v>16</v>
      </c>
      <c r="BA70" s="95"/>
      <c r="BB70" s="94" t="s">
        <v>17</v>
      </c>
      <c r="BC70" s="95"/>
      <c r="BD70" s="94" t="s">
        <v>237</v>
      </c>
      <c r="BE70" s="95"/>
      <c r="BF70" s="94" t="s">
        <v>238</v>
      </c>
      <c r="BG70" s="95"/>
      <c r="BH70" s="94" t="s">
        <v>18</v>
      </c>
      <c r="BI70" s="95"/>
      <c r="BJ70" s="94" t="s">
        <v>19</v>
      </c>
      <c r="BK70" s="95"/>
      <c r="BL70" s="96" t="s">
        <v>20</v>
      </c>
      <c r="BM70" s="97"/>
    </row>
    <row r="71" spans="1:65" ht="30" x14ac:dyDescent="0.25">
      <c r="A71" s="38"/>
      <c r="B71" s="34" t="s">
        <v>298</v>
      </c>
      <c r="C71" s="35" t="s">
        <v>299</v>
      </c>
      <c r="D71" s="34" t="s">
        <v>298</v>
      </c>
      <c r="E71" s="35" t="s">
        <v>299</v>
      </c>
      <c r="F71" s="34" t="s">
        <v>298</v>
      </c>
      <c r="G71" s="35" t="s">
        <v>299</v>
      </c>
      <c r="H71" s="34" t="s">
        <v>298</v>
      </c>
      <c r="I71" s="35" t="s">
        <v>299</v>
      </c>
      <c r="J71" s="34" t="s">
        <v>298</v>
      </c>
      <c r="K71" s="35" t="s">
        <v>299</v>
      </c>
      <c r="L71" s="34" t="s">
        <v>298</v>
      </c>
      <c r="M71" s="35" t="s">
        <v>299</v>
      </c>
      <c r="N71" s="34" t="s">
        <v>298</v>
      </c>
      <c r="O71" s="35" t="s">
        <v>299</v>
      </c>
      <c r="P71" s="34" t="s">
        <v>298</v>
      </c>
      <c r="Q71" s="35" t="s">
        <v>299</v>
      </c>
      <c r="R71" s="34" t="s">
        <v>298</v>
      </c>
      <c r="S71" s="35" t="s">
        <v>299</v>
      </c>
      <c r="T71" s="34" t="s">
        <v>298</v>
      </c>
      <c r="U71" s="35" t="s">
        <v>299</v>
      </c>
      <c r="V71" s="34" t="s">
        <v>298</v>
      </c>
      <c r="W71" s="35" t="s">
        <v>299</v>
      </c>
      <c r="X71" s="34" t="s">
        <v>298</v>
      </c>
      <c r="Y71" s="35" t="s">
        <v>299</v>
      </c>
      <c r="Z71" s="34" t="s">
        <v>298</v>
      </c>
      <c r="AA71" s="35" t="s">
        <v>299</v>
      </c>
      <c r="AB71" s="34" t="s">
        <v>298</v>
      </c>
      <c r="AC71" s="35" t="s">
        <v>299</v>
      </c>
      <c r="AD71" s="34" t="s">
        <v>298</v>
      </c>
      <c r="AE71" s="35" t="s">
        <v>299</v>
      </c>
      <c r="AF71" s="34" t="s">
        <v>298</v>
      </c>
      <c r="AG71" s="35" t="s">
        <v>299</v>
      </c>
      <c r="AH71" s="34" t="s">
        <v>298</v>
      </c>
      <c r="AI71" s="35" t="s">
        <v>299</v>
      </c>
      <c r="AJ71" s="34" t="s">
        <v>298</v>
      </c>
      <c r="AK71" s="35" t="s">
        <v>299</v>
      </c>
      <c r="AL71" s="34" t="s">
        <v>298</v>
      </c>
      <c r="AM71" s="35" t="s">
        <v>299</v>
      </c>
      <c r="AN71" s="34" t="s">
        <v>298</v>
      </c>
      <c r="AO71" s="35" t="s">
        <v>299</v>
      </c>
      <c r="AP71" s="34" t="s">
        <v>298</v>
      </c>
      <c r="AQ71" s="35" t="s">
        <v>299</v>
      </c>
      <c r="AR71" s="34" t="s">
        <v>298</v>
      </c>
      <c r="AS71" s="35" t="s">
        <v>299</v>
      </c>
      <c r="AT71" s="34" t="s">
        <v>298</v>
      </c>
      <c r="AU71" s="35" t="s">
        <v>299</v>
      </c>
      <c r="AV71" s="34" t="s">
        <v>298</v>
      </c>
      <c r="AW71" s="35" t="s">
        <v>299</v>
      </c>
      <c r="AX71" s="34" t="s">
        <v>298</v>
      </c>
      <c r="AY71" s="35" t="s">
        <v>299</v>
      </c>
      <c r="AZ71" s="34" t="s">
        <v>298</v>
      </c>
      <c r="BA71" s="35" t="s">
        <v>299</v>
      </c>
      <c r="BB71" s="34" t="s">
        <v>298</v>
      </c>
      <c r="BC71" s="35" t="s">
        <v>299</v>
      </c>
      <c r="BD71" s="34" t="s">
        <v>298</v>
      </c>
      <c r="BE71" s="35" t="s">
        <v>299</v>
      </c>
      <c r="BF71" s="34" t="s">
        <v>298</v>
      </c>
      <c r="BG71" s="35" t="s">
        <v>299</v>
      </c>
      <c r="BH71" s="34" t="s">
        <v>298</v>
      </c>
      <c r="BI71" s="35" t="s">
        <v>299</v>
      </c>
      <c r="BJ71" s="34" t="s">
        <v>298</v>
      </c>
      <c r="BK71" s="35" t="s">
        <v>299</v>
      </c>
      <c r="BL71" s="34" t="s">
        <v>298</v>
      </c>
      <c r="BM71" s="35" t="s">
        <v>299</v>
      </c>
    </row>
    <row r="72" spans="1:65" x14ac:dyDescent="0.25">
      <c r="A72" s="36" t="s">
        <v>278</v>
      </c>
      <c r="B72" s="24"/>
      <c r="C72" s="24"/>
      <c r="D72" s="24"/>
      <c r="E72" s="24"/>
      <c r="F72" s="24"/>
      <c r="G72" s="24"/>
      <c r="H72" s="24">
        <v>1320</v>
      </c>
      <c r="I72" s="24">
        <v>2287</v>
      </c>
      <c r="J72" s="24"/>
      <c r="K72" s="24"/>
      <c r="L72" s="24">
        <v>447</v>
      </c>
      <c r="M72" s="24">
        <v>666</v>
      </c>
      <c r="N72" s="24">
        <v>342</v>
      </c>
      <c r="O72" s="24">
        <v>415</v>
      </c>
      <c r="P72" s="24"/>
      <c r="Q72" s="24"/>
      <c r="R72" s="24">
        <v>23.6</v>
      </c>
      <c r="S72" s="24">
        <v>43.96</v>
      </c>
      <c r="T72" s="24">
        <v>1468.3</v>
      </c>
      <c r="U72" s="24">
        <v>1751.21</v>
      </c>
      <c r="V72" s="24">
        <v>1901</v>
      </c>
      <c r="W72" s="24">
        <v>4075</v>
      </c>
      <c r="X72" s="24">
        <v>4530</v>
      </c>
      <c r="Y72" s="24">
        <v>8823</v>
      </c>
      <c r="Z72" s="24">
        <v>1290</v>
      </c>
      <c r="AA72" s="24">
        <v>2079</v>
      </c>
      <c r="AB72" s="24">
        <v>18</v>
      </c>
      <c r="AC72" s="24">
        <v>27</v>
      </c>
      <c r="AD72" s="24">
        <v>442</v>
      </c>
      <c r="AE72" s="24">
        <v>760</v>
      </c>
      <c r="AF72" s="24">
        <v>8</v>
      </c>
      <c r="AG72" s="24">
        <v>27</v>
      </c>
      <c r="AH72" s="24"/>
      <c r="AI72" s="24"/>
      <c r="AJ72" s="24">
        <v>3057.98</v>
      </c>
      <c r="AK72" s="24">
        <v>5274.97</v>
      </c>
      <c r="AL72" s="24"/>
      <c r="AM72" s="24"/>
      <c r="AN72" s="24"/>
      <c r="AO72" s="24"/>
      <c r="AP72" s="24">
        <v>25</v>
      </c>
      <c r="AQ72" s="24">
        <v>49</v>
      </c>
      <c r="AR72" s="24">
        <v>899</v>
      </c>
      <c r="AS72" s="24">
        <v>1572</v>
      </c>
      <c r="AT72" s="24">
        <v>471</v>
      </c>
      <c r="AU72" s="24">
        <v>803</v>
      </c>
      <c r="AV72" s="24">
        <v>756</v>
      </c>
      <c r="AW72" s="24">
        <v>957</v>
      </c>
      <c r="AX72" s="24">
        <v>209</v>
      </c>
      <c r="AY72" s="24">
        <v>363</v>
      </c>
      <c r="AZ72" s="24"/>
      <c r="BA72" s="24"/>
      <c r="BB72" s="24">
        <v>1336</v>
      </c>
      <c r="BC72" s="24">
        <v>1873</v>
      </c>
      <c r="BD72" s="24"/>
      <c r="BE72" s="24">
        <v>11933</v>
      </c>
      <c r="BF72" s="24">
        <v>1915</v>
      </c>
      <c r="BG72" s="24">
        <v>5124</v>
      </c>
      <c r="BH72" s="24">
        <v>6059</v>
      </c>
      <c r="BI72" s="24">
        <v>9308</v>
      </c>
      <c r="BJ72" s="24">
        <v>39</v>
      </c>
      <c r="BK72" s="24">
        <v>273</v>
      </c>
      <c r="BL72" s="37">
        <f t="shared" ref="BL72:BM78" si="6">SUM(B72+D72+F72+H72+J72+L72+N72+P72+R72+T72+V72+X72+Z72+AB72+AD72+AF72+AH72+AJ72+AL72+AN72+AP72+AR72+AT72+AV72+AX72+AZ72+BB72+BD72+BF72+BH72+BJ72)</f>
        <v>26556.879999999997</v>
      </c>
      <c r="BM72" s="37">
        <f t="shared" si="6"/>
        <v>58484.14</v>
      </c>
    </row>
    <row r="73" spans="1:65" x14ac:dyDescent="0.25">
      <c r="A73" s="36" t="s">
        <v>279</v>
      </c>
      <c r="B73" s="24"/>
      <c r="C73" s="24"/>
      <c r="D73" s="24"/>
      <c r="E73" s="24"/>
      <c r="F73" s="24"/>
      <c r="G73" s="24"/>
      <c r="H73" s="24">
        <v>9</v>
      </c>
      <c r="I73" s="24">
        <v>9</v>
      </c>
      <c r="J73" s="24"/>
      <c r="K73" s="24"/>
      <c r="L73" s="24"/>
      <c r="M73" s="24">
        <v>0</v>
      </c>
      <c r="N73" s="24"/>
      <c r="O73" s="24">
        <v>1</v>
      </c>
      <c r="P73" s="24"/>
      <c r="Q73" s="24"/>
      <c r="R73" s="24"/>
      <c r="S73" s="24">
        <v>0.09</v>
      </c>
      <c r="T73" s="24">
        <v>15.27</v>
      </c>
      <c r="U73" s="24">
        <v>15.81</v>
      </c>
      <c r="V73" s="24">
        <v>47</v>
      </c>
      <c r="W73" s="24">
        <v>191</v>
      </c>
      <c r="X73" s="24">
        <v>4</v>
      </c>
      <c r="Y73" s="24">
        <v>6</v>
      </c>
      <c r="Z73" s="24">
        <v>1</v>
      </c>
      <c r="AA73" s="24">
        <v>1</v>
      </c>
      <c r="AB73" s="24"/>
      <c r="AC73" s="24">
        <v>0</v>
      </c>
      <c r="AD73" s="24"/>
      <c r="AE73" s="24">
        <v>0</v>
      </c>
      <c r="AF73" s="24">
        <v>0</v>
      </c>
      <c r="AG73" s="24">
        <v>1</v>
      </c>
      <c r="AH73" s="24"/>
      <c r="AI73" s="24"/>
      <c r="AJ73" s="24">
        <v>48.1</v>
      </c>
      <c r="AK73" s="24">
        <v>119.02</v>
      </c>
      <c r="AL73" s="24"/>
      <c r="AM73" s="24"/>
      <c r="AN73" s="24"/>
      <c r="AO73" s="24"/>
      <c r="AP73" s="24">
        <v>3</v>
      </c>
      <c r="AQ73" s="24">
        <v>15</v>
      </c>
      <c r="AR73" s="24"/>
      <c r="AS73" s="24">
        <v>4</v>
      </c>
      <c r="AT73" s="24">
        <v>34</v>
      </c>
      <c r="AU73" s="24">
        <v>50</v>
      </c>
      <c r="AV73" s="24"/>
      <c r="AW73" s="24">
        <v>0</v>
      </c>
      <c r="AX73" s="24"/>
      <c r="AY73" s="24">
        <v>0</v>
      </c>
      <c r="AZ73" s="24"/>
      <c r="BA73" s="24"/>
      <c r="BB73" s="24">
        <v>25</v>
      </c>
      <c r="BC73" s="24">
        <v>29</v>
      </c>
      <c r="BD73" s="24"/>
      <c r="BE73" s="24">
        <v>1015</v>
      </c>
      <c r="BF73" s="24">
        <v>3135</v>
      </c>
      <c r="BG73" s="24">
        <v>3700</v>
      </c>
      <c r="BH73" s="24">
        <v>38</v>
      </c>
      <c r="BI73" s="24">
        <v>337</v>
      </c>
      <c r="BJ73" s="24">
        <v>0</v>
      </c>
      <c r="BK73" s="24">
        <v>0</v>
      </c>
      <c r="BL73" s="37">
        <f t="shared" si="6"/>
        <v>3359.37</v>
      </c>
      <c r="BM73" s="37">
        <f t="shared" si="6"/>
        <v>5493.92</v>
      </c>
    </row>
    <row r="74" spans="1:65" x14ac:dyDescent="0.25">
      <c r="A74" s="36" t="s">
        <v>280</v>
      </c>
      <c r="B74" s="24"/>
      <c r="C74" s="24"/>
      <c r="D74" s="24"/>
      <c r="E74" s="24"/>
      <c r="F74" s="24"/>
      <c r="G74" s="24"/>
      <c r="H74" s="24">
        <v>-1017</v>
      </c>
      <c r="I74" s="24">
        <v>-1725</v>
      </c>
      <c r="J74" s="24"/>
      <c r="K74" s="24"/>
      <c r="L74" s="24">
        <v>320</v>
      </c>
      <c r="M74" s="24">
        <v>405</v>
      </c>
      <c r="N74" s="24">
        <v>294</v>
      </c>
      <c r="O74" s="24">
        <v>358</v>
      </c>
      <c r="P74" s="24"/>
      <c r="Q74" s="24"/>
      <c r="R74" s="24">
        <v>19.29</v>
      </c>
      <c r="S74" s="24">
        <v>35.909999999999997</v>
      </c>
      <c r="T74" s="24">
        <v>1320.14</v>
      </c>
      <c r="U74" s="24">
        <v>1540.82</v>
      </c>
      <c r="V74" s="24">
        <v>-1086</v>
      </c>
      <c r="W74" s="24">
        <v>-2630</v>
      </c>
      <c r="X74" s="24">
        <v>2097</v>
      </c>
      <c r="Y74" s="24">
        <v>4687</v>
      </c>
      <c r="Z74" s="24">
        <v>1052</v>
      </c>
      <c r="AA74" s="24">
        <v>1689</v>
      </c>
      <c r="AB74" s="24">
        <v>12</v>
      </c>
      <c r="AC74" s="24">
        <v>17</v>
      </c>
      <c r="AD74" s="24">
        <v>250</v>
      </c>
      <c r="AE74" s="24">
        <v>422</v>
      </c>
      <c r="AF74" s="24">
        <v>-6</v>
      </c>
      <c r="AG74" s="24">
        <v>-23</v>
      </c>
      <c r="AH74" s="24"/>
      <c r="AI74" s="24"/>
      <c r="AJ74" s="24">
        <v>1077.29</v>
      </c>
      <c r="AK74" s="24">
        <v>1220.17</v>
      </c>
      <c r="AL74" s="24"/>
      <c r="AM74" s="24"/>
      <c r="AN74" s="24"/>
      <c r="AO74" s="24"/>
      <c r="AP74" s="24">
        <v>21</v>
      </c>
      <c r="AQ74" s="24">
        <v>49</v>
      </c>
      <c r="AR74" s="24">
        <v>483</v>
      </c>
      <c r="AS74" s="24">
        <v>918</v>
      </c>
      <c r="AT74" s="24">
        <v>458</v>
      </c>
      <c r="AU74" s="24">
        <v>761</v>
      </c>
      <c r="AV74" s="24">
        <v>373</v>
      </c>
      <c r="AW74" s="24">
        <v>431</v>
      </c>
      <c r="AX74" s="24">
        <v>15</v>
      </c>
      <c r="AY74" s="24">
        <v>30</v>
      </c>
      <c r="AZ74" s="24"/>
      <c r="BA74" s="24"/>
      <c r="BB74" s="24">
        <v>1168</v>
      </c>
      <c r="BC74" s="24">
        <v>1611</v>
      </c>
      <c r="BD74" s="24"/>
      <c r="BE74" s="24">
        <v>3636</v>
      </c>
      <c r="BF74" s="24">
        <v>278</v>
      </c>
      <c r="BG74" s="24">
        <v>931</v>
      </c>
      <c r="BH74" s="24">
        <v>1085</v>
      </c>
      <c r="BI74" s="24">
        <v>1848</v>
      </c>
      <c r="BJ74" s="24">
        <v>32</v>
      </c>
      <c r="BK74" s="24">
        <v>246</v>
      </c>
      <c r="BL74" s="37">
        <f t="shared" si="6"/>
        <v>8245.7200000000012</v>
      </c>
      <c r="BM74" s="37">
        <f t="shared" si="6"/>
        <v>16457.900000000001</v>
      </c>
    </row>
    <row r="75" spans="1:65" s="4" customFormat="1" x14ac:dyDescent="0.25">
      <c r="A75" s="38" t="s">
        <v>281</v>
      </c>
      <c r="B75" s="26"/>
      <c r="C75" s="26"/>
      <c r="D75" s="26"/>
      <c r="E75" s="26"/>
      <c r="F75" s="26"/>
      <c r="G75" s="26"/>
      <c r="H75" s="26">
        <v>312</v>
      </c>
      <c r="I75" s="26">
        <v>571</v>
      </c>
      <c r="J75" s="26"/>
      <c r="K75" s="26"/>
      <c r="L75" s="26">
        <v>127</v>
      </c>
      <c r="M75" s="26">
        <v>261</v>
      </c>
      <c r="N75" s="26">
        <v>48</v>
      </c>
      <c r="O75" s="26">
        <v>58</v>
      </c>
      <c r="P75" s="26"/>
      <c r="Q75" s="26"/>
      <c r="R75" s="26">
        <v>4.3099999999999996</v>
      </c>
      <c r="S75" s="26">
        <v>8.14</v>
      </c>
      <c r="T75" s="26">
        <v>163.41999999999999</v>
      </c>
      <c r="U75" s="26">
        <v>226.2</v>
      </c>
      <c r="V75" s="26">
        <v>862</v>
      </c>
      <c r="W75" s="26">
        <v>1636</v>
      </c>
      <c r="X75" s="26">
        <v>2437</v>
      </c>
      <c r="Y75" s="26">
        <v>4142</v>
      </c>
      <c r="Z75" s="26">
        <v>239</v>
      </c>
      <c r="AA75" s="26">
        <v>391</v>
      </c>
      <c r="AB75" s="26">
        <v>6</v>
      </c>
      <c r="AC75" s="26">
        <v>10</v>
      </c>
      <c r="AD75" s="26">
        <v>192</v>
      </c>
      <c r="AE75" s="26">
        <v>339</v>
      </c>
      <c r="AF75" s="26">
        <v>3</v>
      </c>
      <c r="AG75" s="26">
        <v>5</v>
      </c>
      <c r="AH75" s="26"/>
      <c r="AI75" s="26"/>
      <c r="AJ75" s="26">
        <v>2028.78</v>
      </c>
      <c r="AK75" s="26">
        <v>4173.82</v>
      </c>
      <c r="AL75" s="26"/>
      <c r="AM75" s="26"/>
      <c r="AN75" s="26"/>
      <c r="AO75" s="26"/>
      <c r="AP75" s="26">
        <v>6</v>
      </c>
      <c r="AQ75" s="26">
        <v>15</v>
      </c>
      <c r="AR75" s="26">
        <v>416</v>
      </c>
      <c r="AS75" s="26">
        <v>658</v>
      </c>
      <c r="AT75" s="26">
        <v>48</v>
      </c>
      <c r="AU75" s="26">
        <v>92</v>
      </c>
      <c r="AV75" s="26">
        <v>383</v>
      </c>
      <c r="AW75" s="26">
        <v>526</v>
      </c>
      <c r="AX75" s="26">
        <v>194</v>
      </c>
      <c r="AY75" s="26">
        <v>333</v>
      </c>
      <c r="AZ75" s="26"/>
      <c r="BA75" s="26"/>
      <c r="BB75" s="26">
        <v>193</v>
      </c>
      <c r="BC75" s="26">
        <v>292</v>
      </c>
      <c r="BD75" s="26"/>
      <c r="BE75" s="26">
        <v>9313</v>
      </c>
      <c r="BF75" s="26">
        <v>4771</v>
      </c>
      <c r="BG75" s="26">
        <v>7893</v>
      </c>
      <c r="BH75" s="26">
        <v>5012</v>
      </c>
      <c r="BI75" s="26">
        <v>7797</v>
      </c>
      <c r="BJ75" s="26">
        <v>7</v>
      </c>
      <c r="BK75" s="26">
        <v>26</v>
      </c>
      <c r="BL75" s="39">
        <f t="shared" si="6"/>
        <v>17452.509999999998</v>
      </c>
      <c r="BM75" s="39">
        <f t="shared" si="6"/>
        <v>38766.160000000003</v>
      </c>
    </row>
    <row r="76" spans="1:65" x14ac:dyDescent="0.25">
      <c r="A76" s="36" t="s">
        <v>282</v>
      </c>
      <c r="B76" s="24"/>
      <c r="C76" s="24"/>
      <c r="D76" s="24"/>
      <c r="E76" s="24"/>
      <c r="F76" s="24"/>
      <c r="G76" s="24"/>
      <c r="H76" s="24">
        <v>1840</v>
      </c>
      <c r="I76" s="24">
        <v>1840</v>
      </c>
      <c r="J76" s="24"/>
      <c r="K76" s="24"/>
      <c r="L76" s="24">
        <v>551</v>
      </c>
      <c r="M76" s="24">
        <v>551</v>
      </c>
      <c r="N76" s="24">
        <v>447</v>
      </c>
      <c r="O76" s="24">
        <v>447</v>
      </c>
      <c r="P76" s="24"/>
      <c r="Q76" s="24"/>
      <c r="R76" s="24">
        <v>170.39</v>
      </c>
      <c r="S76" s="24">
        <v>170.39</v>
      </c>
      <c r="T76" s="24">
        <v>1624.22</v>
      </c>
      <c r="U76" s="24">
        <v>1624.22</v>
      </c>
      <c r="V76" s="24">
        <v>4776</v>
      </c>
      <c r="W76" s="24">
        <v>4776</v>
      </c>
      <c r="X76" s="24">
        <v>16635</v>
      </c>
      <c r="Y76" s="24">
        <v>16635</v>
      </c>
      <c r="Z76" s="24">
        <v>165</v>
      </c>
      <c r="AA76" s="24">
        <v>1908</v>
      </c>
      <c r="AB76" s="24">
        <v>45</v>
      </c>
      <c r="AC76" s="24">
        <v>45</v>
      </c>
      <c r="AD76" s="24">
        <v>529</v>
      </c>
      <c r="AE76" s="24">
        <v>529</v>
      </c>
      <c r="AF76" s="24">
        <v>186</v>
      </c>
      <c r="AG76" s="24">
        <v>186</v>
      </c>
      <c r="AH76" s="24"/>
      <c r="AI76" s="24"/>
      <c r="AJ76" s="24">
        <v>-2399.13</v>
      </c>
      <c r="AK76" s="24">
        <v>21983.96</v>
      </c>
      <c r="AL76" s="24">
        <v>1</v>
      </c>
      <c r="AM76" s="24">
        <v>1</v>
      </c>
      <c r="AN76" s="24"/>
      <c r="AO76" s="24"/>
      <c r="AP76" s="24">
        <v>126</v>
      </c>
      <c r="AQ76" s="24">
        <v>126</v>
      </c>
      <c r="AR76" s="24">
        <v>3764</v>
      </c>
      <c r="AS76" s="24">
        <v>3764</v>
      </c>
      <c r="AT76" s="24">
        <v>1363</v>
      </c>
      <c r="AU76" s="24">
        <v>1363</v>
      </c>
      <c r="AV76" s="24">
        <v>1492</v>
      </c>
      <c r="AW76" s="24">
        <v>1492</v>
      </c>
      <c r="AX76" s="24">
        <v>44</v>
      </c>
      <c r="AY76" s="24">
        <v>1051</v>
      </c>
      <c r="AZ76" s="24"/>
      <c r="BA76" s="24"/>
      <c r="BB76" s="24">
        <v>2155</v>
      </c>
      <c r="BC76" s="24">
        <v>2155</v>
      </c>
      <c r="BD76" s="24"/>
      <c r="BE76" s="24">
        <v>79917</v>
      </c>
      <c r="BF76" s="24">
        <v>1996</v>
      </c>
      <c r="BG76" s="24">
        <v>38303</v>
      </c>
      <c r="BH76" s="24"/>
      <c r="BI76" s="24"/>
      <c r="BJ76" s="24">
        <v>1</v>
      </c>
      <c r="BK76" s="24">
        <v>254</v>
      </c>
      <c r="BL76" s="37">
        <f t="shared" si="6"/>
        <v>35511.479999999996</v>
      </c>
      <c r="BM76" s="37">
        <f t="shared" si="6"/>
        <v>179121.57</v>
      </c>
    </row>
    <row r="77" spans="1:65" ht="15" customHeight="1" x14ac:dyDescent="0.25">
      <c r="A77" s="36" t="s">
        <v>283</v>
      </c>
      <c r="B77" s="24"/>
      <c r="C77" s="24"/>
      <c r="D77" s="24"/>
      <c r="E77" s="24"/>
      <c r="F77" s="24"/>
      <c r="G77" s="24"/>
      <c r="H77" s="24">
        <v>2240</v>
      </c>
      <c r="I77" s="24">
        <v>1785</v>
      </c>
      <c r="J77" s="24"/>
      <c r="K77" s="24"/>
      <c r="L77" s="24">
        <v>588</v>
      </c>
      <c r="M77" s="24">
        <v>612</v>
      </c>
      <c r="N77" s="24">
        <v>455</v>
      </c>
      <c r="O77" s="24">
        <v>127</v>
      </c>
      <c r="P77" s="24"/>
      <c r="Q77" s="24"/>
      <c r="R77" s="24">
        <v>153.52000000000001</v>
      </c>
      <c r="S77" s="24">
        <v>134.38999999999999</v>
      </c>
      <c r="T77" s="24">
        <v>1391.58</v>
      </c>
      <c r="U77" s="24">
        <v>1306.5999999999999</v>
      </c>
      <c r="V77" s="24">
        <v>-4855</v>
      </c>
      <c r="W77" s="24">
        <v>-4554</v>
      </c>
      <c r="X77" s="24">
        <v>15191</v>
      </c>
      <c r="Y77" s="24">
        <v>14484</v>
      </c>
      <c r="Z77" s="24"/>
      <c r="AA77" s="24">
        <v>1653</v>
      </c>
      <c r="AB77" s="24">
        <v>30</v>
      </c>
      <c r="AC77" s="24">
        <v>27</v>
      </c>
      <c r="AD77" s="24">
        <v>535</v>
      </c>
      <c r="AE77" s="24">
        <v>584</v>
      </c>
      <c r="AF77" s="24">
        <v>-195</v>
      </c>
      <c r="AG77" s="24">
        <v>-224</v>
      </c>
      <c r="AH77" s="24"/>
      <c r="AI77" s="24"/>
      <c r="AJ77" s="24"/>
      <c r="AK77" s="24">
        <v>23553.31</v>
      </c>
      <c r="AL77" s="24">
        <v>-1</v>
      </c>
      <c r="AM77" s="24">
        <v>-1</v>
      </c>
      <c r="AN77" s="24"/>
      <c r="AO77" s="24"/>
      <c r="AP77" s="24">
        <v>112</v>
      </c>
      <c r="AQ77" s="24">
        <v>100</v>
      </c>
      <c r="AR77" s="24">
        <v>3539</v>
      </c>
      <c r="AS77" s="24">
        <v>3175</v>
      </c>
      <c r="AT77" s="24">
        <v>1310</v>
      </c>
      <c r="AU77" s="24">
        <v>855</v>
      </c>
      <c r="AV77" s="24">
        <v>1737</v>
      </c>
      <c r="AW77" s="24">
        <v>1606</v>
      </c>
      <c r="AX77" s="24"/>
      <c r="AY77" s="24">
        <v>1349</v>
      </c>
      <c r="AZ77" s="24"/>
      <c r="BA77" s="24"/>
      <c r="BB77" s="24">
        <v>1859</v>
      </c>
      <c r="BC77" s="24">
        <v>1253</v>
      </c>
      <c r="BD77" s="24"/>
      <c r="BE77" s="24">
        <v>68514</v>
      </c>
      <c r="BF77" s="24">
        <v>0</v>
      </c>
      <c r="BG77" s="24">
        <v>39573</v>
      </c>
      <c r="BH77" s="24"/>
      <c r="BI77" s="24"/>
      <c r="BJ77" s="24"/>
      <c r="BK77" s="24">
        <v>297</v>
      </c>
      <c r="BL77" s="37">
        <f t="shared" si="6"/>
        <v>24090.1</v>
      </c>
      <c r="BM77" s="37">
        <f t="shared" si="6"/>
        <v>156209.29999999999</v>
      </c>
    </row>
    <row r="78" spans="1:65" s="4" customFormat="1" x14ac:dyDescent="0.25">
      <c r="A78" s="38" t="s">
        <v>284</v>
      </c>
      <c r="B78" s="26"/>
      <c r="C78" s="26"/>
      <c r="D78" s="26"/>
      <c r="E78" s="26"/>
      <c r="F78" s="26"/>
      <c r="G78" s="26"/>
      <c r="H78" s="26">
        <v>-89</v>
      </c>
      <c r="I78" s="26">
        <v>625</v>
      </c>
      <c r="J78" s="26"/>
      <c r="K78" s="26"/>
      <c r="L78" s="26">
        <v>89</v>
      </c>
      <c r="M78" s="26">
        <v>200</v>
      </c>
      <c r="N78" s="26">
        <v>40</v>
      </c>
      <c r="O78" s="26">
        <v>378</v>
      </c>
      <c r="P78" s="26"/>
      <c r="Q78" s="26"/>
      <c r="R78" s="26">
        <v>21.18</v>
      </c>
      <c r="S78" s="26">
        <v>44.14</v>
      </c>
      <c r="T78" s="26">
        <v>396.06</v>
      </c>
      <c r="U78" s="26">
        <v>543.82000000000005</v>
      </c>
      <c r="V78" s="26">
        <v>783</v>
      </c>
      <c r="W78" s="26">
        <v>1858</v>
      </c>
      <c r="X78" s="26">
        <v>3881</v>
      </c>
      <c r="Y78" s="26">
        <v>6293</v>
      </c>
      <c r="Z78" s="26">
        <v>404</v>
      </c>
      <c r="AA78" s="26">
        <v>646</v>
      </c>
      <c r="AB78" s="26">
        <v>21</v>
      </c>
      <c r="AC78" s="26">
        <v>28</v>
      </c>
      <c r="AD78" s="26">
        <v>186</v>
      </c>
      <c r="AE78" s="26">
        <v>283</v>
      </c>
      <c r="AF78" s="26">
        <v>-7</v>
      </c>
      <c r="AG78" s="26">
        <v>-33</v>
      </c>
      <c r="AH78" s="26"/>
      <c r="AI78" s="26"/>
      <c r="AJ78" s="26">
        <v>-370.35</v>
      </c>
      <c r="AK78" s="26">
        <v>2604.48</v>
      </c>
      <c r="AL78" s="26"/>
      <c r="AM78" s="26"/>
      <c r="AN78" s="26"/>
      <c r="AO78" s="26"/>
      <c r="AP78" s="26">
        <v>20</v>
      </c>
      <c r="AQ78" s="26">
        <v>41</v>
      </c>
      <c r="AR78" s="26">
        <v>641</v>
      </c>
      <c r="AS78" s="26">
        <v>1248</v>
      </c>
      <c r="AT78" s="26">
        <v>101</v>
      </c>
      <c r="AU78" s="26">
        <v>600</v>
      </c>
      <c r="AV78" s="26">
        <v>138</v>
      </c>
      <c r="AW78" s="26">
        <v>412</v>
      </c>
      <c r="AX78" s="26">
        <v>238</v>
      </c>
      <c r="AY78" s="26">
        <v>35</v>
      </c>
      <c r="AZ78" s="26"/>
      <c r="BA78" s="26"/>
      <c r="BB78" s="26">
        <v>490</v>
      </c>
      <c r="BC78" s="26">
        <v>1194</v>
      </c>
      <c r="BD78" s="26"/>
      <c r="BE78" s="26">
        <v>20715</v>
      </c>
      <c r="BF78" s="26">
        <v>6767</v>
      </c>
      <c r="BG78" s="26">
        <v>6622</v>
      </c>
      <c r="BH78" s="26">
        <v>1230</v>
      </c>
      <c r="BI78" s="26">
        <v>9359</v>
      </c>
      <c r="BJ78" s="26">
        <v>8</v>
      </c>
      <c r="BK78" s="26">
        <v>-16</v>
      </c>
      <c r="BL78" s="39">
        <f t="shared" si="6"/>
        <v>14987.89</v>
      </c>
      <c r="BM78" s="39">
        <f t="shared" si="6"/>
        <v>53680.44</v>
      </c>
    </row>
    <row r="79" spans="1:65" x14ac:dyDescent="0.25">
      <c r="A79" s="2"/>
    </row>
    <row r="80" spans="1:65" x14ac:dyDescent="0.25">
      <c r="A80" s="8" t="s">
        <v>188</v>
      </c>
    </row>
    <row r="81" spans="1:65" x14ac:dyDescent="0.25">
      <c r="A81" s="38" t="s">
        <v>0</v>
      </c>
      <c r="B81" s="94" t="s">
        <v>1</v>
      </c>
      <c r="C81" s="95"/>
      <c r="D81" s="94" t="s">
        <v>232</v>
      </c>
      <c r="E81" s="95"/>
      <c r="F81" s="94" t="s">
        <v>2</v>
      </c>
      <c r="G81" s="95"/>
      <c r="H81" s="94" t="s">
        <v>3</v>
      </c>
      <c r="I81" s="95"/>
      <c r="J81" s="94" t="s">
        <v>241</v>
      </c>
      <c r="K81" s="95"/>
      <c r="L81" s="94" t="s">
        <v>233</v>
      </c>
      <c r="M81" s="95"/>
      <c r="N81" s="94" t="s">
        <v>246</v>
      </c>
      <c r="O81" s="95"/>
      <c r="P81" s="94" t="s">
        <v>5</v>
      </c>
      <c r="Q81" s="95"/>
      <c r="R81" s="94" t="s">
        <v>4</v>
      </c>
      <c r="S81" s="95"/>
      <c r="T81" s="94" t="s">
        <v>6</v>
      </c>
      <c r="U81" s="95"/>
      <c r="V81" s="94" t="s">
        <v>7</v>
      </c>
      <c r="W81" s="95"/>
      <c r="X81" s="94" t="s">
        <v>8</v>
      </c>
      <c r="Y81" s="95"/>
      <c r="Z81" s="94" t="s">
        <v>9</v>
      </c>
      <c r="AA81" s="95"/>
      <c r="AB81" s="94" t="s">
        <v>240</v>
      </c>
      <c r="AC81" s="95"/>
      <c r="AD81" s="94" t="s">
        <v>10</v>
      </c>
      <c r="AE81" s="95"/>
      <c r="AF81" s="94" t="s">
        <v>11</v>
      </c>
      <c r="AG81" s="95"/>
      <c r="AH81" s="94" t="s">
        <v>234</v>
      </c>
      <c r="AI81" s="95"/>
      <c r="AJ81" s="94" t="s">
        <v>12</v>
      </c>
      <c r="AK81" s="95"/>
      <c r="AL81" s="94" t="s">
        <v>235</v>
      </c>
      <c r="AM81" s="95"/>
      <c r="AN81" s="94" t="s">
        <v>300</v>
      </c>
      <c r="AO81" s="95"/>
      <c r="AP81" s="94" t="s">
        <v>236</v>
      </c>
      <c r="AQ81" s="95"/>
      <c r="AR81" s="94" t="s">
        <v>239</v>
      </c>
      <c r="AS81" s="95"/>
      <c r="AT81" s="94" t="s">
        <v>13</v>
      </c>
      <c r="AU81" s="95"/>
      <c r="AV81" s="94" t="s">
        <v>14</v>
      </c>
      <c r="AW81" s="95"/>
      <c r="AX81" s="94" t="s">
        <v>15</v>
      </c>
      <c r="AY81" s="95"/>
      <c r="AZ81" s="94" t="s">
        <v>16</v>
      </c>
      <c r="BA81" s="95"/>
      <c r="BB81" s="94" t="s">
        <v>17</v>
      </c>
      <c r="BC81" s="95"/>
      <c r="BD81" s="94" t="s">
        <v>237</v>
      </c>
      <c r="BE81" s="95"/>
      <c r="BF81" s="94" t="s">
        <v>238</v>
      </c>
      <c r="BG81" s="95"/>
      <c r="BH81" s="94" t="s">
        <v>18</v>
      </c>
      <c r="BI81" s="95"/>
      <c r="BJ81" s="94" t="s">
        <v>19</v>
      </c>
      <c r="BK81" s="95"/>
      <c r="BL81" s="96" t="s">
        <v>20</v>
      </c>
      <c r="BM81" s="97"/>
    </row>
    <row r="82" spans="1:65" ht="30" x14ac:dyDescent="0.25">
      <c r="A82" s="38"/>
      <c r="B82" s="34" t="s">
        <v>298</v>
      </c>
      <c r="C82" s="35" t="s">
        <v>299</v>
      </c>
      <c r="D82" s="34" t="s">
        <v>298</v>
      </c>
      <c r="E82" s="35" t="s">
        <v>299</v>
      </c>
      <c r="F82" s="34" t="s">
        <v>298</v>
      </c>
      <c r="G82" s="35" t="s">
        <v>299</v>
      </c>
      <c r="H82" s="34" t="s">
        <v>298</v>
      </c>
      <c r="I82" s="35" t="s">
        <v>299</v>
      </c>
      <c r="J82" s="34" t="s">
        <v>298</v>
      </c>
      <c r="K82" s="35" t="s">
        <v>299</v>
      </c>
      <c r="L82" s="34" t="s">
        <v>298</v>
      </c>
      <c r="M82" s="35" t="s">
        <v>299</v>
      </c>
      <c r="N82" s="34" t="s">
        <v>298</v>
      </c>
      <c r="O82" s="35" t="s">
        <v>299</v>
      </c>
      <c r="P82" s="34" t="s">
        <v>298</v>
      </c>
      <c r="Q82" s="35" t="s">
        <v>299</v>
      </c>
      <c r="R82" s="34" t="s">
        <v>298</v>
      </c>
      <c r="S82" s="35" t="s">
        <v>299</v>
      </c>
      <c r="T82" s="34" t="s">
        <v>298</v>
      </c>
      <c r="U82" s="35" t="s">
        <v>299</v>
      </c>
      <c r="V82" s="34" t="s">
        <v>298</v>
      </c>
      <c r="W82" s="35" t="s">
        <v>299</v>
      </c>
      <c r="X82" s="34" t="s">
        <v>298</v>
      </c>
      <c r="Y82" s="35" t="s">
        <v>299</v>
      </c>
      <c r="Z82" s="34" t="s">
        <v>298</v>
      </c>
      <c r="AA82" s="35" t="s">
        <v>299</v>
      </c>
      <c r="AB82" s="34" t="s">
        <v>298</v>
      </c>
      <c r="AC82" s="35" t="s">
        <v>299</v>
      </c>
      <c r="AD82" s="34" t="s">
        <v>298</v>
      </c>
      <c r="AE82" s="35" t="s">
        <v>299</v>
      </c>
      <c r="AF82" s="34" t="s">
        <v>298</v>
      </c>
      <c r="AG82" s="35" t="s">
        <v>299</v>
      </c>
      <c r="AH82" s="34" t="s">
        <v>298</v>
      </c>
      <c r="AI82" s="35" t="s">
        <v>299</v>
      </c>
      <c r="AJ82" s="34" t="s">
        <v>298</v>
      </c>
      <c r="AK82" s="35" t="s">
        <v>299</v>
      </c>
      <c r="AL82" s="34" t="s">
        <v>298</v>
      </c>
      <c r="AM82" s="35" t="s">
        <v>299</v>
      </c>
      <c r="AN82" s="34" t="s">
        <v>298</v>
      </c>
      <c r="AO82" s="35" t="s">
        <v>299</v>
      </c>
      <c r="AP82" s="34" t="s">
        <v>298</v>
      </c>
      <c r="AQ82" s="35" t="s">
        <v>299</v>
      </c>
      <c r="AR82" s="34" t="s">
        <v>298</v>
      </c>
      <c r="AS82" s="35" t="s">
        <v>299</v>
      </c>
      <c r="AT82" s="34" t="s">
        <v>298</v>
      </c>
      <c r="AU82" s="35" t="s">
        <v>299</v>
      </c>
      <c r="AV82" s="34" t="s">
        <v>298</v>
      </c>
      <c r="AW82" s="35" t="s">
        <v>299</v>
      </c>
      <c r="AX82" s="34" t="s">
        <v>298</v>
      </c>
      <c r="AY82" s="35" t="s">
        <v>299</v>
      </c>
      <c r="AZ82" s="34" t="s">
        <v>298</v>
      </c>
      <c r="BA82" s="35" t="s">
        <v>299</v>
      </c>
      <c r="BB82" s="34" t="s">
        <v>298</v>
      </c>
      <c r="BC82" s="35" t="s">
        <v>299</v>
      </c>
      <c r="BD82" s="34" t="s">
        <v>298</v>
      </c>
      <c r="BE82" s="35" t="s">
        <v>299</v>
      </c>
      <c r="BF82" s="34" t="s">
        <v>298</v>
      </c>
      <c r="BG82" s="35" t="s">
        <v>299</v>
      </c>
      <c r="BH82" s="34" t="s">
        <v>298</v>
      </c>
      <c r="BI82" s="35" t="s">
        <v>299</v>
      </c>
      <c r="BJ82" s="34" t="s">
        <v>298</v>
      </c>
      <c r="BK82" s="35" t="s">
        <v>299</v>
      </c>
      <c r="BL82" s="34" t="s">
        <v>298</v>
      </c>
      <c r="BM82" s="35" t="s">
        <v>299</v>
      </c>
    </row>
    <row r="83" spans="1:65" x14ac:dyDescent="0.25">
      <c r="A83" s="36" t="s">
        <v>278</v>
      </c>
      <c r="B83" s="24"/>
      <c r="C83" s="24"/>
      <c r="D83" s="24"/>
      <c r="E83" s="24"/>
      <c r="F83" s="24"/>
      <c r="G83" s="24"/>
      <c r="H83" s="24">
        <v>0</v>
      </c>
      <c r="I83" s="24">
        <v>-135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>
        <v>194.99</v>
      </c>
      <c r="U83" s="24">
        <v>335.85</v>
      </c>
      <c r="V83" s="24">
        <v>31</v>
      </c>
      <c r="W83" s="24">
        <v>41</v>
      </c>
      <c r="X83" s="24">
        <v>769</v>
      </c>
      <c r="Y83" s="24">
        <v>1114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>
        <v>1074.8900000000001</v>
      </c>
      <c r="AK83" s="24">
        <v>2063.15</v>
      </c>
      <c r="AL83" s="24"/>
      <c r="AM83" s="24"/>
      <c r="AN83" s="24"/>
      <c r="AO83" s="24"/>
      <c r="AP83" s="24"/>
      <c r="AQ83" s="24"/>
      <c r="AR83" s="24">
        <v>310</v>
      </c>
      <c r="AS83" s="24">
        <v>440</v>
      </c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>
        <v>1539</v>
      </c>
      <c r="BF83" s="24">
        <v>-613</v>
      </c>
      <c r="BG83" s="24">
        <v>1237</v>
      </c>
      <c r="BH83" s="24">
        <v>226</v>
      </c>
      <c r="BI83" s="24">
        <v>584</v>
      </c>
      <c r="BJ83" s="24"/>
      <c r="BK83" s="24"/>
      <c r="BL83" s="37">
        <f t="shared" ref="BL83:BM89" si="7">SUM(B83+D83+F83+H83+J83+L83+N83+P83+R83+T83+V83+X83+Z83+AB83+AD83+AF83+AH83+AJ83+AL83+AN83+AP83+AR83+AT83+AV83+AX83+AZ83+BB83+BD83+BF83+BH83+BJ83)</f>
        <v>1992.88</v>
      </c>
      <c r="BM83" s="37">
        <f t="shared" si="7"/>
        <v>7219</v>
      </c>
    </row>
    <row r="84" spans="1:65" x14ac:dyDescent="0.25">
      <c r="A84" s="36" t="s">
        <v>279</v>
      </c>
      <c r="B84" s="24"/>
      <c r="C84" s="24"/>
      <c r="D84" s="24"/>
      <c r="E84" s="24"/>
      <c r="F84" s="24"/>
      <c r="G84" s="24"/>
      <c r="H84" s="24"/>
      <c r="I84" s="24">
        <v>0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>
        <v>-12</v>
      </c>
      <c r="W84" s="24">
        <v>-8</v>
      </c>
      <c r="X84" s="24">
        <v>27</v>
      </c>
      <c r="Y84" s="24">
        <v>454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>
        <v>1778.38</v>
      </c>
      <c r="AK84" s="24">
        <v>5242.87</v>
      </c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>
        <v>2047</v>
      </c>
      <c r="BF84" s="24">
        <v>1058</v>
      </c>
      <c r="BG84" s="24">
        <v>2295</v>
      </c>
      <c r="BH84" s="24">
        <v>103</v>
      </c>
      <c r="BI84" s="24">
        <v>762</v>
      </c>
      <c r="BJ84" s="24"/>
      <c r="BK84" s="24"/>
      <c r="BL84" s="37">
        <f t="shared" si="7"/>
        <v>2954.38</v>
      </c>
      <c r="BM84" s="37">
        <f t="shared" si="7"/>
        <v>10792.869999999999</v>
      </c>
    </row>
    <row r="85" spans="1:65" x14ac:dyDescent="0.25">
      <c r="A85" s="36" t="s">
        <v>280</v>
      </c>
      <c r="B85" s="24"/>
      <c r="C85" s="24"/>
      <c r="D85" s="24"/>
      <c r="E85" s="24"/>
      <c r="F85" s="24"/>
      <c r="G85" s="24"/>
      <c r="H85" s="24">
        <v>1</v>
      </c>
      <c r="I85" s="24">
        <v>142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>
        <v>9.75</v>
      </c>
      <c r="U85" s="24">
        <v>16.79</v>
      </c>
      <c r="V85" s="24">
        <v>-4</v>
      </c>
      <c r="W85" s="24">
        <v>-14</v>
      </c>
      <c r="X85" s="24">
        <v>167</v>
      </c>
      <c r="Y85" s="24">
        <v>213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>
        <v>958.06</v>
      </c>
      <c r="AK85" s="24">
        <v>1279.8900000000001</v>
      </c>
      <c r="AL85" s="24"/>
      <c r="AM85" s="24"/>
      <c r="AN85" s="24"/>
      <c r="AO85" s="24"/>
      <c r="AP85" s="24"/>
      <c r="AQ85" s="24"/>
      <c r="AR85" s="24">
        <v>266</v>
      </c>
      <c r="AS85" s="24">
        <v>240</v>
      </c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>
        <v>1399</v>
      </c>
      <c r="BF85" s="24">
        <v>212</v>
      </c>
      <c r="BG85" s="24">
        <v>1032</v>
      </c>
      <c r="BH85" s="24">
        <v>506</v>
      </c>
      <c r="BI85" s="24">
        <v>714</v>
      </c>
      <c r="BJ85" s="24"/>
      <c r="BK85" s="24"/>
      <c r="BL85" s="37">
        <f t="shared" si="7"/>
        <v>2115.81</v>
      </c>
      <c r="BM85" s="37">
        <f t="shared" si="7"/>
        <v>5022.68</v>
      </c>
    </row>
    <row r="86" spans="1:65" s="4" customFormat="1" x14ac:dyDescent="0.25">
      <c r="A86" s="38" t="s">
        <v>281</v>
      </c>
      <c r="B86" s="26"/>
      <c r="C86" s="26"/>
      <c r="D86" s="26"/>
      <c r="E86" s="26"/>
      <c r="F86" s="26"/>
      <c r="G86" s="26"/>
      <c r="H86" s="26">
        <v>1</v>
      </c>
      <c r="I86" s="26">
        <v>7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>
        <v>185.24</v>
      </c>
      <c r="U86" s="26">
        <v>319.05</v>
      </c>
      <c r="V86" s="26">
        <v>15</v>
      </c>
      <c r="W86" s="26">
        <v>19</v>
      </c>
      <c r="X86" s="26">
        <v>629</v>
      </c>
      <c r="Y86" s="26">
        <v>1355</v>
      </c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>
        <v>1895.21</v>
      </c>
      <c r="AK86" s="26">
        <v>6026.13</v>
      </c>
      <c r="AL86" s="26"/>
      <c r="AM86" s="26"/>
      <c r="AN86" s="26"/>
      <c r="AO86" s="26"/>
      <c r="AP86" s="26"/>
      <c r="AQ86" s="26"/>
      <c r="AR86" s="26">
        <v>44</v>
      </c>
      <c r="AS86" s="26">
        <v>200</v>
      </c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>
        <v>2187</v>
      </c>
      <c r="BF86" s="26">
        <v>233</v>
      </c>
      <c r="BG86" s="26">
        <v>2500</v>
      </c>
      <c r="BH86" s="26">
        <v>-177</v>
      </c>
      <c r="BI86" s="26">
        <v>632</v>
      </c>
      <c r="BJ86" s="26"/>
      <c r="BK86" s="26"/>
      <c r="BL86" s="39">
        <f t="shared" si="7"/>
        <v>2825.45</v>
      </c>
      <c r="BM86" s="39">
        <f t="shared" si="7"/>
        <v>13245.18</v>
      </c>
    </row>
    <row r="87" spans="1:65" x14ac:dyDescent="0.25">
      <c r="A87" s="36" t="s">
        <v>282</v>
      </c>
      <c r="B87" s="24"/>
      <c r="C87" s="24"/>
      <c r="D87" s="24"/>
      <c r="E87" s="24"/>
      <c r="F87" s="24"/>
      <c r="G87" s="24"/>
      <c r="H87" s="24">
        <v>667</v>
      </c>
      <c r="I87" s="24">
        <v>667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>
        <v>188.5</v>
      </c>
      <c r="U87" s="24">
        <v>188.5</v>
      </c>
      <c r="V87" s="24">
        <v>689</v>
      </c>
      <c r="W87" s="24">
        <v>689</v>
      </c>
      <c r="X87" s="24">
        <v>5606</v>
      </c>
      <c r="Y87" s="24">
        <v>5606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>
        <v>1244.5999999999999</v>
      </c>
      <c r="AK87" s="24">
        <v>17683.8</v>
      </c>
      <c r="AL87" s="24"/>
      <c r="AM87" s="24"/>
      <c r="AN87" s="24"/>
      <c r="AO87" s="24"/>
      <c r="AP87" s="24"/>
      <c r="AQ87" s="24"/>
      <c r="AR87" s="24">
        <v>2242</v>
      </c>
      <c r="AS87" s="24">
        <v>2242</v>
      </c>
      <c r="AT87" s="24"/>
      <c r="AU87" s="24"/>
      <c r="AV87" s="24">
        <v>2</v>
      </c>
      <c r="AW87" s="24">
        <v>2</v>
      </c>
      <c r="AX87" s="24"/>
      <c r="AY87" s="24"/>
      <c r="AZ87" s="24"/>
      <c r="BA87" s="24"/>
      <c r="BB87" s="24">
        <v>2</v>
      </c>
      <c r="BC87" s="24">
        <v>2</v>
      </c>
      <c r="BD87" s="24"/>
      <c r="BE87" s="24">
        <v>5735</v>
      </c>
      <c r="BF87" s="24">
        <v>870</v>
      </c>
      <c r="BG87" s="24">
        <v>13622</v>
      </c>
      <c r="BH87" s="24"/>
      <c r="BI87" s="24"/>
      <c r="BJ87" s="24"/>
      <c r="BK87" s="24"/>
      <c r="BL87" s="37">
        <f t="shared" si="7"/>
        <v>11511.1</v>
      </c>
      <c r="BM87" s="37">
        <f t="shared" si="7"/>
        <v>46437.3</v>
      </c>
    </row>
    <row r="88" spans="1:65" ht="15" customHeight="1" x14ac:dyDescent="0.25">
      <c r="A88" s="36" t="s">
        <v>283</v>
      </c>
      <c r="B88" s="24"/>
      <c r="C88" s="24"/>
      <c r="D88" s="24"/>
      <c r="E88" s="24"/>
      <c r="F88" s="24"/>
      <c r="G88" s="24"/>
      <c r="H88" s="24">
        <v>1029</v>
      </c>
      <c r="I88" s="24">
        <v>1359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>
        <v>268.62</v>
      </c>
      <c r="U88" s="24">
        <v>215.15</v>
      </c>
      <c r="V88" s="24">
        <v>-704</v>
      </c>
      <c r="W88" s="24">
        <v>-708</v>
      </c>
      <c r="X88" s="24">
        <v>5609</v>
      </c>
      <c r="Y88" s="24">
        <v>5719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>
        <v>15918.67</v>
      </c>
      <c r="AL88" s="24"/>
      <c r="AM88" s="24"/>
      <c r="AN88" s="24"/>
      <c r="AO88" s="24"/>
      <c r="AP88" s="24"/>
      <c r="AQ88" s="24"/>
      <c r="AR88" s="24">
        <v>2050</v>
      </c>
      <c r="AS88" s="24">
        <v>1866</v>
      </c>
      <c r="AT88" s="24"/>
      <c r="AU88" s="24"/>
      <c r="AV88" s="24">
        <v>2</v>
      </c>
      <c r="AW88" s="24">
        <v>2</v>
      </c>
      <c r="AX88" s="24"/>
      <c r="AY88" s="24"/>
      <c r="AZ88" s="24"/>
      <c r="BA88" s="24"/>
      <c r="BB88" s="24">
        <v>2</v>
      </c>
      <c r="BC88" s="24">
        <v>2</v>
      </c>
      <c r="BD88" s="24"/>
      <c r="BE88" s="24">
        <v>5615</v>
      </c>
      <c r="BF88" s="24">
        <v>0</v>
      </c>
      <c r="BG88" s="24">
        <v>12011</v>
      </c>
      <c r="BH88" s="24"/>
      <c r="BI88" s="24"/>
      <c r="BJ88" s="24"/>
      <c r="BK88" s="24"/>
      <c r="BL88" s="37">
        <f t="shared" si="7"/>
        <v>8256.619999999999</v>
      </c>
      <c r="BM88" s="37">
        <f t="shared" si="7"/>
        <v>41999.82</v>
      </c>
    </row>
    <row r="89" spans="1:65" s="4" customFormat="1" x14ac:dyDescent="0.25">
      <c r="A89" s="38" t="s">
        <v>284</v>
      </c>
      <c r="B89" s="26"/>
      <c r="C89" s="26"/>
      <c r="D89" s="26"/>
      <c r="E89" s="26"/>
      <c r="F89" s="26"/>
      <c r="G89" s="26"/>
      <c r="H89" s="26">
        <v>-361</v>
      </c>
      <c r="I89" s="26">
        <v>-685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>
        <v>105.12</v>
      </c>
      <c r="U89" s="26">
        <v>292.41000000000003</v>
      </c>
      <c r="V89" s="26"/>
      <c r="W89" s="26">
        <v>1</v>
      </c>
      <c r="X89" s="26">
        <v>626</v>
      </c>
      <c r="Y89" s="26">
        <v>1242</v>
      </c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>
        <v>3139.81</v>
      </c>
      <c r="AK89" s="26">
        <v>7791.26</v>
      </c>
      <c r="AL89" s="26"/>
      <c r="AM89" s="26"/>
      <c r="AN89" s="26"/>
      <c r="AO89" s="26"/>
      <c r="AP89" s="26"/>
      <c r="AQ89" s="26"/>
      <c r="AR89" s="26">
        <v>236</v>
      </c>
      <c r="AS89" s="26">
        <v>576</v>
      </c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>
        <v>2308</v>
      </c>
      <c r="BF89" s="26">
        <v>1103</v>
      </c>
      <c r="BG89" s="26">
        <v>4111</v>
      </c>
      <c r="BH89" s="26">
        <v>61</v>
      </c>
      <c r="BI89" s="26">
        <v>284</v>
      </c>
      <c r="BJ89" s="26"/>
      <c r="BK89" s="26"/>
      <c r="BL89" s="39">
        <f t="shared" si="7"/>
        <v>4909.93</v>
      </c>
      <c r="BM89" s="39">
        <f t="shared" si="7"/>
        <v>15920.67</v>
      </c>
    </row>
    <row r="90" spans="1:65" x14ac:dyDescent="0.25">
      <c r="A90" s="2"/>
    </row>
    <row r="91" spans="1:65" x14ac:dyDescent="0.25">
      <c r="A91" s="8" t="s">
        <v>244</v>
      </c>
    </row>
    <row r="92" spans="1:65" x14ac:dyDescent="0.25">
      <c r="A92" s="38" t="s">
        <v>0</v>
      </c>
      <c r="B92" s="94" t="s">
        <v>1</v>
      </c>
      <c r="C92" s="95"/>
      <c r="D92" s="94" t="s">
        <v>232</v>
      </c>
      <c r="E92" s="95"/>
      <c r="F92" s="94" t="s">
        <v>2</v>
      </c>
      <c r="G92" s="95"/>
      <c r="H92" s="94" t="s">
        <v>3</v>
      </c>
      <c r="I92" s="95"/>
      <c r="J92" s="94" t="s">
        <v>241</v>
      </c>
      <c r="K92" s="95"/>
      <c r="L92" s="94" t="s">
        <v>233</v>
      </c>
      <c r="M92" s="95"/>
      <c r="N92" s="94" t="s">
        <v>246</v>
      </c>
      <c r="O92" s="95"/>
      <c r="P92" s="94" t="s">
        <v>5</v>
      </c>
      <c r="Q92" s="95"/>
      <c r="R92" s="94" t="s">
        <v>4</v>
      </c>
      <c r="S92" s="95"/>
      <c r="T92" s="94" t="s">
        <v>6</v>
      </c>
      <c r="U92" s="95"/>
      <c r="V92" s="94" t="s">
        <v>7</v>
      </c>
      <c r="W92" s="95"/>
      <c r="X92" s="94" t="s">
        <v>8</v>
      </c>
      <c r="Y92" s="95"/>
      <c r="Z92" s="94" t="s">
        <v>9</v>
      </c>
      <c r="AA92" s="95"/>
      <c r="AB92" s="94" t="s">
        <v>240</v>
      </c>
      <c r="AC92" s="95"/>
      <c r="AD92" s="94" t="s">
        <v>10</v>
      </c>
      <c r="AE92" s="95"/>
      <c r="AF92" s="94" t="s">
        <v>11</v>
      </c>
      <c r="AG92" s="95"/>
      <c r="AH92" s="94" t="s">
        <v>234</v>
      </c>
      <c r="AI92" s="95"/>
      <c r="AJ92" s="94" t="s">
        <v>12</v>
      </c>
      <c r="AK92" s="95"/>
      <c r="AL92" s="94" t="s">
        <v>235</v>
      </c>
      <c r="AM92" s="95"/>
      <c r="AN92" s="94" t="s">
        <v>300</v>
      </c>
      <c r="AO92" s="95"/>
      <c r="AP92" s="94" t="s">
        <v>236</v>
      </c>
      <c r="AQ92" s="95"/>
      <c r="AR92" s="94" t="s">
        <v>239</v>
      </c>
      <c r="AS92" s="95"/>
      <c r="AT92" s="94" t="s">
        <v>13</v>
      </c>
      <c r="AU92" s="95"/>
      <c r="AV92" s="94" t="s">
        <v>14</v>
      </c>
      <c r="AW92" s="95"/>
      <c r="AX92" s="94" t="s">
        <v>15</v>
      </c>
      <c r="AY92" s="95"/>
      <c r="AZ92" s="94" t="s">
        <v>16</v>
      </c>
      <c r="BA92" s="95"/>
      <c r="BB92" s="94" t="s">
        <v>17</v>
      </c>
      <c r="BC92" s="95"/>
      <c r="BD92" s="94" t="s">
        <v>237</v>
      </c>
      <c r="BE92" s="95"/>
      <c r="BF92" s="94" t="s">
        <v>238</v>
      </c>
      <c r="BG92" s="95"/>
      <c r="BH92" s="94" t="s">
        <v>18</v>
      </c>
      <c r="BI92" s="95"/>
      <c r="BJ92" s="94" t="s">
        <v>19</v>
      </c>
      <c r="BK92" s="95"/>
      <c r="BL92" s="96" t="s">
        <v>20</v>
      </c>
      <c r="BM92" s="97"/>
    </row>
    <row r="93" spans="1:65" ht="30" x14ac:dyDescent="0.25">
      <c r="A93" s="38"/>
      <c r="B93" s="34" t="s">
        <v>298</v>
      </c>
      <c r="C93" s="35" t="s">
        <v>299</v>
      </c>
      <c r="D93" s="34" t="s">
        <v>298</v>
      </c>
      <c r="E93" s="35" t="s">
        <v>299</v>
      </c>
      <c r="F93" s="34" t="s">
        <v>298</v>
      </c>
      <c r="G93" s="35" t="s">
        <v>299</v>
      </c>
      <c r="H93" s="34" t="s">
        <v>298</v>
      </c>
      <c r="I93" s="35" t="s">
        <v>299</v>
      </c>
      <c r="J93" s="34" t="s">
        <v>298</v>
      </c>
      <c r="K93" s="35" t="s">
        <v>299</v>
      </c>
      <c r="L93" s="34" t="s">
        <v>298</v>
      </c>
      <c r="M93" s="35" t="s">
        <v>299</v>
      </c>
      <c r="N93" s="34" t="s">
        <v>298</v>
      </c>
      <c r="O93" s="35" t="s">
        <v>299</v>
      </c>
      <c r="P93" s="34" t="s">
        <v>298</v>
      </c>
      <c r="Q93" s="35" t="s">
        <v>299</v>
      </c>
      <c r="R93" s="34" t="s">
        <v>298</v>
      </c>
      <c r="S93" s="35" t="s">
        <v>299</v>
      </c>
      <c r="T93" s="34" t="s">
        <v>298</v>
      </c>
      <c r="U93" s="35" t="s">
        <v>299</v>
      </c>
      <c r="V93" s="34" t="s">
        <v>298</v>
      </c>
      <c r="W93" s="35" t="s">
        <v>299</v>
      </c>
      <c r="X93" s="34" t="s">
        <v>298</v>
      </c>
      <c r="Y93" s="35" t="s">
        <v>299</v>
      </c>
      <c r="Z93" s="34" t="s">
        <v>298</v>
      </c>
      <c r="AA93" s="35" t="s">
        <v>299</v>
      </c>
      <c r="AB93" s="34" t="s">
        <v>298</v>
      </c>
      <c r="AC93" s="35" t="s">
        <v>299</v>
      </c>
      <c r="AD93" s="34" t="s">
        <v>298</v>
      </c>
      <c r="AE93" s="35" t="s">
        <v>299</v>
      </c>
      <c r="AF93" s="34" t="s">
        <v>298</v>
      </c>
      <c r="AG93" s="35" t="s">
        <v>299</v>
      </c>
      <c r="AH93" s="34" t="s">
        <v>298</v>
      </c>
      <c r="AI93" s="35" t="s">
        <v>299</v>
      </c>
      <c r="AJ93" s="34" t="s">
        <v>298</v>
      </c>
      <c r="AK93" s="35" t="s">
        <v>299</v>
      </c>
      <c r="AL93" s="34" t="s">
        <v>298</v>
      </c>
      <c r="AM93" s="35" t="s">
        <v>299</v>
      </c>
      <c r="AN93" s="34" t="s">
        <v>298</v>
      </c>
      <c r="AO93" s="35" t="s">
        <v>299</v>
      </c>
      <c r="AP93" s="34" t="s">
        <v>298</v>
      </c>
      <c r="AQ93" s="35" t="s">
        <v>299</v>
      </c>
      <c r="AR93" s="34" t="s">
        <v>298</v>
      </c>
      <c r="AS93" s="35" t="s">
        <v>299</v>
      </c>
      <c r="AT93" s="34" t="s">
        <v>298</v>
      </c>
      <c r="AU93" s="35" t="s">
        <v>299</v>
      </c>
      <c r="AV93" s="34" t="s">
        <v>298</v>
      </c>
      <c r="AW93" s="35" t="s">
        <v>299</v>
      </c>
      <c r="AX93" s="34" t="s">
        <v>298</v>
      </c>
      <c r="AY93" s="35" t="s">
        <v>299</v>
      </c>
      <c r="AZ93" s="34" t="s">
        <v>298</v>
      </c>
      <c r="BA93" s="35" t="s">
        <v>299</v>
      </c>
      <c r="BB93" s="34" t="s">
        <v>298</v>
      </c>
      <c r="BC93" s="35" t="s">
        <v>299</v>
      </c>
      <c r="BD93" s="34" t="s">
        <v>298</v>
      </c>
      <c r="BE93" s="35" t="s">
        <v>299</v>
      </c>
      <c r="BF93" s="34" t="s">
        <v>298</v>
      </c>
      <c r="BG93" s="35" t="s">
        <v>299</v>
      </c>
      <c r="BH93" s="34" t="s">
        <v>298</v>
      </c>
      <c r="BI93" s="35" t="s">
        <v>299</v>
      </c>
      <c r="BJ93" s="34" t="s">
        <v>298</v>
      </c>
      <c r="BK93" s="35" t="s">
        <v>299</v>
      </c>
      <c r="BL93" s="34" t="s">
        <v>298</v>
      </c>
      <c r="BM93" s="35" t="s">
        <v>299</v>
      </c>
    </row>
    <row r="94" spans="1:65" x14ac:dyDescent="0.25">
      <c r="A94" s="36" t="s">
        <v>278</v>
      </c>
      <c r="B94" s="24"/>
      <c r="C94" s="24"/>
      <c r="D94" s="24"/>
      <c r="E94" s="24"/>
      <c r="F94" s="24">
        <v>184651</v>
      </c>
      <c r="G94" s="24">
        <v>347574</v>
      </c>
      <c r="H94" s="24">
        <v>7798</v>
      </c>
      <c r="I94" s="24">
        <v>34227</v>
      </c>
      <c r="J94" s="24"/>
      <c r="K94" s="24"/>
      <c r="L94" s="24">
        <v>1</v>
      </c>
      <c r="M94" s="24">
        <v>2</v>
      </c>
      <c r="N94" s="24"/>
      <c r="O94" s="24"/>
      <c r="P94" s="24"/>
      <c r="Q94" s="24"/>
      <c r="R94" s="24"/>
      <c r="S94" s="24"/>
      <c r="T94" s="24">
        <v>6184.09</v>
      </c>
      <c r="U94" s="24">
        <v>25212.79</v>
      </c>
      <c r="V94" s="24">
        <v>46893</v>
      </c>
      <c r="W94" s="24">
        <v>90404</v>
      </c>
      <c r="X94" s="24">
        <v>367</v>
      </c>
      <c r="Y94" s="24">
        <v>20722</v>
      </c>
      <c r="Z94" s="24">
        <v>19859</v>
      </c>
      <c r="AA94" s="24">
        <v>55200</v>
      </c>
      <c r="AB94" s="24"/>
      <c r="AC94" s="24"/>
      <c r="AD94" s="24"/>
      <c r="AE94" s="24"/>
      <c r="AF94" s="24"/>
      <c r="AG94" s="24"/>
      <c r="AH94" s="24"/>
      <c r="AI94" s="24"/>
      <c r="AJ94" s="24">
        <v>3953.09</v>
      </c>
      <c r="AK94" s="24">
        <v>6967.82</v>
      </c>
      <c r="AL94" s="24"/>
      <c r="AM94" s="24"/>
      <c r="AN94" s="24"/>
      <c r="AO94" s="24"/>
      <c r="AP94" s="24"/>
      <c r="AQ94" s="24"/>
      <c r="AR94" s="24">
        <v>30724</v>
      </c>
      <c r="AS94" s="24">
        <v>83771</v>
      </c>
      <c r="AT94" s="24"/>
      <c r="AU94" s="24"/>
      <c r="AV94" s="24">
        <v>51634</v>
      </c>
      <c r="AW94" s="24">
        <v>56371</v>
      </c>
      <c r="AX94" s="24"/>
      <c r="AY94" s="24"/>
      <c r="AZ94" s="24"/>
      <c r="BA94" s="24"/>
      <c r="BB94" s="24">
        <v>3</v>
      </c>
      <c r="BC94" s="24">
        <v>9</v>
      </c>
      <c r="BD94" s="24"/>
      <c r="BE94" s="24">
        <v>29537</v>
      </c>
      <c r="BF94" s="24">
        <v>91</v>
      </c>
      <c r="BG94" s="24">
        <v>161</v>
      </c>
      <c r="BH94" s="24">
        <v>1208</v>
      </c>
      <c r="BI94" s="24">
        <v>3162</v>
      </c>
      <c r="BJ94" s="24">
        <v>20924</v>
      </c>
      <c r="BK94" s="24">
        <v>56365</v>
      </c>
      <c r="BL94" s="37">
        <f t="shared" ref="BL94:BM100" si="8">SUM(B94+D94+F94+H94+J94+L94+N94+P94+R94+T94+V94+X94+Z94+AB94+AD94+AF94+AH94+AJ94+AL94+AN94+AP94+AR94+AT94+AV94+AX94+AZ94+BB94+BD94+BF94+BH94+BJ94)</f>
        <v>374290.18</v>
      </c>
      <c r="BM94" s="37">
        <f t="shared" si="8"/>
        <v>809685.61</v>
      </c>
    </row>
    <row r="95" spans="1:65" x14ac:dyDescent="0.25">
      <c r="A95" s="36" t="s">
        <v>279</v>
      </c>
      <c r="B95" s="24"/>
      <c r="C95" s="24"/>
      <c r="D95" s="24"/>
      <c r="E95" s="24"/>
      <c r="F95" s="24">
        <v>32</v>
      </c>
      <c r="G95" s="24">
        <v>32</v>
      </c>
      <c r="H95" s="24"/>
      <c r="I95" s="24">
        <v>0</v>
      </c>
      <c r="J95" s="24"/>
      <c r="K95" s="24"/>
      <c r="L95" s="24"/>
      <c r="M95" s="24"/>
      <c r="N95" s="24">
        <v>945</v>
      </c>
      <c r="O95" s="24">
        <v>1096</v>
      </c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>
        <v>4</v>
      </c>
      <c r="BF95" s="24">
        <v>111</v>
      </c>
      <c r="BG95" s="24">
        <v>111</v>
      </c>
      <c r="BH95" s="24"/>
      <c r="BI95" s="24"/>
      <c r="BJ95" s="24"/>
      <c r="BK95" s="24"/>
      <c r="BL95" s="37">
        <f t="shared" si="8"/>
        <v>1088</v>
      </c>
      <c r="BM95" s="37">
        <f t="shared" si="8"/>
        <v>1243</v>
      </c>
    </row>
    <row r="96" spans="1:65" x14ac:dyDescent="0.25">
      <c r="A96" s="36" t="s">
        <v>280</v>
      </c>
      <c r="B96" s="24"/>
      <c r="C96" s="24"/>
      <c r="D96" s="24"/>
      <c r="E96" s="24"/>
      <c r="F96" s="24">
        <v>118124</v>
      </c>
      <c r="G96" s="24">
        <v>218116</v>
      </c>
      <c r="H96" s="24">
        <v>-6171</v>
      </c>
      <c r="I96" s="24">
        <v>-26796</v>
      </c>
      <c r="J96" s="24"/>
      <c r="K96" s="24"/>
      <c r="L96" s="24">
        <v>1</v>
      </c>
      <c r="M96" s="24">
        <v>1</v>
      </c>
      <c r="N96" s="24">
        <v>455</v>
      </c>
      <c r="O96" s="24">
        <v>455</v>
      </c>
      <c r="P96" s="24"/>
      <c r="Q96" s="24"/>
      <c r="R96" s="24"/>
      <c r="S96" s="24"/>
      <c r="T96" s="24">
        <v>4624.66</v>
      </c>
      <c r="U96" s="24">
        <v>19681.21</v>
      </c>
      <c r="V96" s="24">
        <v>-35332</v>
      </c>
      <c r="W96" s="24">
        <v>-67861</v>
      </c>
      <c r="X96" s="24">
        <v>262</v>
      </c>
      <c r="Y96" s="24">
        <v>16330</v>
      </c>
      <c r="Z96" s="24">
        <v>14908</v>
      </c>
      <c r="AA96" s="24">
        <v>41414</v>
      </c>
      <c r="AB96" s="24"/>
      <c r="AC96" s="24"/>
      <c r="AD96" s="24"/>
      <c r="AE96" s="24"/>
      <c r="AF96" s="24"/>
      <c r="AG96" s="24"/>
      <c r="AH96" s="24"/>
      <c r="AI96" s="24"/>
      <c r="AJ96" s="24">
        <v>-470.91</v>
      </c>
      <c r="AK96" s="24">
        <v>5023.22</v>
      </c>
      <c r="AL96" s="24"/>
      <c r="AM96" s="24"/>
      <c r="AN96" s="24"/>
      <c r="AO96" s="24"/>
      <c r="AP96" s="24"/>
      <c r="AQ96" s="24"/>
      <c r="AR96" s="24">
        <v>22398</v>
      </c>
      <c r="AS96" s="24">
        <v>60981</v>
      </c>
      <c r="AT96" s="24"/>
      <c r="AU96" s="24"/>
      <c r="AV96" s="24">
        <v>40182</v>
      </c>
      <c r="AW96" s="24">
        <v>43716</v>
      </c>
      <c r="AX96" s="24"/>
      <c r="AY96" s="24"/>
      <c r="AZ96" s="24"/>
      <c r="BA96" s="24"/>
      <c r="BB96" s="24">
        <v>7</v>
      </c>
      <c r="BC96" s="24">
        <v>6</v>
      </c>
      <c r="BD96" s="24"/>
      <c r="BE96" s="24">
        <v>5761</v>
      </c>
      <c r="BF96" s="24">
        <v>71</v>
      </c>
      <c r="BG96" s="24">
        <v>91</v>
      </c>
      <c r="BH96" s="24">
        <v>1613</v>
      </c>
      <c r="BI96" s="24">
        <v>2529</v>
      </c>
      <c r="BJ96" s="24">
        <v>17519</v>
      </c>
      <c r="BK96" s="24">
        <v>44206</v>
      </c>
      <c r="BL96" s="37">
        <f t="shared" si="8"/>
        <v>178190.75</v>
      </c>
      <c r="BM96" s="37">
        <f t="shared" si="8"/>
        <v>363653.43</v>
      </c>
    </row>
    <row r="97" spans="1:65" s="4" customFormat="1" x14ac:dyDescent="0.25">
      <c r="A97" s="38" t="s">
        <v>281</v>
      </c>
      <c r="B97" s="26"/>
      <c r="C97" s="26"/>
      <c r="D97" s="26"/>
      <c r="E97" s="26"/>
      <c r="F97" s="26">
        <v>66559</v>
      </c>
      <c r="G97" s="26">
        <v>129490</v>
      </c>
      <c r="H97" s="26">
        <v>1626</v>
      </c>
      <c r="I97" s="26">
        <v>7431</v>
      </c>
      <c r="J97" s="26"/>
      <c r="K97" s="26"/>
      <c r="L97" s="26">
        <v>0</v>
      </c>
      <c r="M97" s="26">
        <v>0</v>
      </c>
      <c r="N97" s="26">
        <v>490</v>
      </c>
      <c r="O97" s="26">
        <v>641</v>
      </c>
      <c r="P97" s="26"/>
      <c r="Q97" s="26"/>
      <c r="R97" s="26"/>
      <c r="S97" s="26"/>
      <c r="T97" s="26">
        <v>1559.43</v>
      </c>
      <c r="U97" s="26">
        <v>5531.58</v>
      </c>
      <c r="V97" s="26">
        <v>11561</v>
      </c>
      <c r="W97" s="26">
        <v>22543</v>
      </c>
      <c r="X97" s="26">
        <v>105</v>
      </c>
      <c r="Y97" s="26">
        <v>4392</v>
      </c>
      <c r="Z97" s="26">
        <v>4951</v>
      </c>
      <c r="AA97" s="26">
        <v>13786</v>
      </c>
      <c r="AB97" s="26"/>
      <c r="AC97" s="26"/>
      <c r="AD97" s="26"/>
      <c r="AE97" s="26"/>
      <c r="AF97" s="26"/>
      <c r="AG97" s="26"/>
      <c r="AH97" s="26"/>
      <c r="AI97" s="26"/>
      <c r="AJ97" s="26">
        <v>4424</v>
      </c>
      <c r="AK97" s="26">
        <v>1944.6</v>
      </c>
      <c r="AL97" s="26"/>
      <c r="AM97" s="26"/>
      <c r="AN97" s="26"/>
      <c r="AO97" s="26"/>
      <c r="AP97" s="26"/>
      <c r="AQ97" s="26"/>
      <c r="AR97" s="26">
        <v>8326</v>
      </c>
      <c r="AS97" s="26">
        <v>22790</v>
      </c>
      <c r="AT97" s="26"/>
      <c r="AU97" s="26"/>
      <c r="AV97" s="26">
        <v>11451</v>
      </c>
      <c r="AW97" s="26">
        <v>12655</v>
      </c>
      <c r="AX97" s="26"/>
      <c r="AY97" s="26"/>
      <c r="AZ97" s="26"/>
      <c r="BA97" s="26"/>
      <c r="BB97" s="26">
        <v>-4</v>
      </c>
      <c r="BC97" s="26">
        <v>3</v>
      </c>
      <c r="BD97" s="26"/>
      <c r="BE97" s="26">
        <v>23779</v>
      </c>
      <c r="BF97" s="26">
        <v>132</v>
      </c>
      <c r="BG97" s="26">
        <v>181</v>
      </c>
      <c r="BH97" s="26">
        <v>-404</v>
      </c>
      <c r="BI97" s="26">
        <v>632</v>
      </c>
      <c r="BJ97" s="26">
        <v>3405</v>
      </c>
      <c r="BK97" s="26">
        <v>12159</v>
      </c>
      <c r="BL97" s="39">
        <f t="shared" si="8"/>
        <v>114181.43</v>
      </c>
      <c r="BM97" s="39">
        <f t="shared" si="8"/>
        <v>257958.18</v>
      </c>
    </row>
    <row r="98" spans="1:65" x14ac:dyDescent="0.25">
      <c r="A98" s="36" t="s">
        <v>282</v>
      </c>
      <c r="B98" s="24"/>
      <c r="C98" s="24"/>
      <c r="D98" s="24"/>
      <c r="E98" s="24"/>
      <c r="F98" s="24">
        <v>258378</v>
      </c>
      <c r="G98" s="24">
        <v>1056917</v>
      </c>
      <c r="H98" s="24">
        <v>28352</v>
      </c>
      <c r="I98" s="24">
        <v>28352</v>
      </c>
      <c r="J98" s="24"/>
      <c r="K98" s="24"/>
      <c r="L98" s="24">
        <v>589</v>
      </c>
      <c r="M98" s="24">
        <v>589</v>
      </c>
      <c r="N98" s="24">
        <v>1952</v>
      </c>
      <c r="O98" s="24">
        <v>1952</v>
      </c>
      <c r="P98" s="24"/>
      <c r="Q98" s="24"/>
      <c r="R98" s="24"/>
      <c r="S98" s="24"/>
      <c r="T98" s="24">
        <v>7625.2</v>
      </c>
      <c r="U98" s="24">
        <v>7625.2</v>
      </c>
      <c r="V98" s="24">
        <v>64400</v>
      </c>
      <c r="W98" s="24">
        <v>64400</v>
      </c>
      <c r="X98" s="24">
        <v>33179</v>
      </c>
      <c r="Y98" s="24">
        <v>33179</v>
      </c>
      <c r="Z98" s="24">
        <v>-4152</v>
      </c>
      <c r="AA98" s="24">
        <v>6595</v>
      </c>
      <c r="AB98" s="24"/>
      <c r="AC98" s="24"/>
      <c r="AD98" s="24"/>
      <c r="AE98" s="24"/>
      <c r="AF98" s="24">
        <v>4766</v>
      </c>
      <c r="AG98" s="24">
        <v>4766</v>
      </c>
      <c r="AH98" s="24"/>
      <c r="AI98" s="24"/>
      <c r="AJ98" s="24">
        <v>-891.61</v>
      </c>
      <c r="AK98" s="24">
        <v>9939.26</v>
      </c>
      <c r="AL98" s="24"/>
      <c r="AM98" s="24"/>
      <c r="AN98" s="24"/>
      <c r="AO98" s="24"/>
      <c r="AP98" s="24"/>
      <c r="AQ98" s="24"/>
      <c r="AR98" s="24">
        <v>110618</v>
      </c>
      <c r="AS98" s="24">
        <v>110618</v>
      </c>
      <c r="AT98" s="24"/>
      <c r="AU98" s="24"/>
      <c r="AV98" s="24">
        <v>51576</v>
      </c>
      <c r="AW98" s="24">
        <v>51576</v>
      </c>
      <c r="AX98" s="24">
        <v>6</v>
      </c>
      <c r="AY98" s="24">
        <v>6</v>
      </c>
      <c r="AZ98" s="24"/>
      <c r="BA98" s="24"/>
      <c r="BB98" s="24">
        <v>2590</v>
      </c>
      <c r="BC98" s="24">
        <v>2590</v>
      </c>
      <c r="BD98" s="24"/>
      <c r="BE98" s="24">
        <v>18215</v>
      </c>
      <c r="BF98" s="24">
        <v>-1544</v>
      </c>
      <c r="BG98" s="24">
        <v>35705</v>
      </c>
      <c r="BH98" s="24"/>
      <c r="BI98" s="24"/>
      <c r="BJ98" s="24">
        <v>821</v>
      </c>
      <c r="BK98" s="24">
        <v>5125</v>
      </c>
      <c r="BL98" s="37">
        <f t="shared" si="8"/>
        <v>558264.59000000008</v>
      </c>
      <c r="BM98" s="37">
        <f t="shared" si="8"/>
        <v>1438149.46</v>
      </c>
    </row>
    <row r="99" spans="1:65" ht="15" customHeight="1" x14ac:dyDescent="0.25">
      <c r="A99" s="36" t="s">
        <v>283</v>
      </c>
      <c r="B99" s="24"/>
      <c r="C99" s="24"/>
      <c r="D99" s="24"/>
      <c r="E99" s="24"/>
      <c r="F99" s="24">
        <v>0</v>
      </c>
      <c r="G99" s="24">
        <v>788439</v>
      </c>
      <c r="H99" s="24">
        <v>9898</v>
      </c>
      <c r="I99" s="24">
        <v>18619</v>
      </c>
      <c r="J99" s="24"/>
      <c r="K99" s="24"/>
      <c r="L99" s="24">
        <v>589</v>
      </c>
      <c r="M99" s="24">
        <v>589</v>
      </c>
      <c r="N99" s="24">
        <v>1017</v>
      </c>
      <c r="O99" s="24">
        <v>490</v>
      </c>
      <c r="P99" s="24"/>
      <c r="Q99" s="24"/>
      <c r="R99" s="24"/>
      <c r="S99" s="24"/>
      <c r="T99" s="24">
        <v>6410.9</v>
      </c>
      <c r="U99" s="24">
        <v>12043.32</v>
      </c>
      <c r="V99" s="24">
        <v>-43651</v>
      </c>
      <c r="W99" s="24">
        <v>-51519</v>
      </c>
      <c r="X99" s="24">
        <v>17985</v>
      </c>
      <c r="Y99" s="24">
        <v>21763</v>
      </c>
      <c r="Z99" s="24"/>
      <c r="AA99" s="24">
        <v>12438</v>
      </c>
      <c r="AB99" s="24"/>
      <c r="AC99" s="24"/>
      <c r="AD99" s="24"/>
      <c r="AE99" s="24"/>
      <c r="AF99" s="24">
        <v>-3866</v>
      </c>
      <c r="AG99" s="24">
        <v>-3866</v>
      </c>
      <c r="AH99" s="24"/>
      <c r="AI99" s="24"/>
      <c r="AJ99" s="24"/>
      <c r="AK99" s="24">
        <v>11620.54</v>
      </c>
      <c r="AL99" s="24"/>
      <c r="AM99" s="24"/>
      <c r="AN99" s="24"/>
      <c r="AO99" s="24"/>
      <c r="AP99" s="24"/>
      <c r="AQ99" s="24"/>
      <c r="AR99" s="24">
        <v>82134</v>
      </c>
      <c r="AS99" s="24">
        <v>85138</v>
      </c>
      <c r="AT99" s="24"/>
      <c r="AU99" s="24"/>
      <c r="AV99" s="24">
        <v>43254</v>
      </c>
      <c r="AW99" s="24">
        <v>51115</v>
      </c>
      <c r="AX99" s="24">
        <v>4</v>
      </c>
      <c r="AY99" s="24">
        <v>4</v>
      </c>
      <c r="AZ99" s="24"/>
      <c r="BA99" s="24"/>
      <c r="BB99" s="24">
        <v>2623</v>
      </c>
      <c r="BC99" s="24">
        <v>2617</v>
      </c>
      <c r="BD99" s="24"/>
      <c r="BE99" s="24">
        <v>27916</v>
      </c>
      <c r="BF99" s="24">
        <v>0</v>
      </c>
      <c r="BG99" s="24">
        <v>31150</v>
      </c>
      <c r="BH99" s="24"/>
      <c r="BI99" s="24"/>
      <c r="BJ99" s="24"/>
      <c r="BK99" s="24">
        <v>12425</v>
      </c>
      <c r="BL99" s="37">
        <f t="shared" si="8"/>
        <v>116397.9</v>
      </c>
      <c r="BM99" s="37">
        <f t="shared" si="8"/>
        <v>1020981.86</v>
      </c>
    </row>
    <row r="100" spans="1:65" s="4" customFormat="1" x14ac:dyDescent="0.25">
      <c r="A100" s="38" t="s">
        <v>284</v>
      </c>
      <c r="B100" s="26"/>
      <c r="C100" s="26"/>
      <c r="D100" s="26"/>
      <c r="E100" s="26"/>
      <c r="F100" s="26">
        <v>324936</v>
      </c>
      <c r="G100" s="26">
        <v>397968</v>
      </c>
      <c r="H100" s="26">
        <v>20080</v>
      </c>
      <c r="I100" s="26">
        <v>17164</v>
      </c>
      <c r="J100" s="26"/>
      <c r="K100" s="26"/>
      <c r="L100" s="26">
        <v>0</v>
      </c>
      <c r="M100" s="26">
        <v>0</v>
      </c>
      <c r="N100" s="26">
        <v>1425</v>
      </c>
      <c r="O100" s="26">
        <v>2103</v>
      </c>
      <c r="P100" s="26"/>
      <c r="Q100" s="26"/>
      <c r="R100" s="26"/>
      <c r="S100" s="26"/>
      <c r="T100" s="26">
        <v>2773.73</v>
      </c>
      <c r="U100" s="26">
        <v>1113.47</v>
      </c>
      <c r="V100" s="26">
        <v>32310</v>
      </c>
      <c r="W100" s="26">
        <v>35424</v>
      </c>
      <c r="X100" s="26">
        <v>15299</v>
      </c>
      <c r="Y100" s="26">
        <v>15808</v>
      </c>
      <c r="Z100" s="26">
        <v>799</v>
      </c>
      <c r="AA100" s="26">
        <v>7943</v>
      </c>
      <c r="AB100" s="26"/>
      <c r="AC100" s="26"/>
      <c r="AD100" s="26"/>
      <c r="AE100" s="26"/>
      <c r="AF100" s="26">
        <v>900</v>
      </c>
      <c r="AG100" s="26">
        <v>900</v>
      </c>
      <c r="AH100" s="26"/>
      <c r="AI100" s="26"/>
      <c r="AJ100" s="26">
        <v>3532.39</v>
      </c>
      <c r="AK100" s="26">
        <v>263.32</v>
      </c>
      <c r="AL100" s="26"/>
      <c r="AM100" s="26"/>
      <c r="AN100" s="26"/>
      <c r="AO100" s="26"/>
      <c r="AP100" s="26"/>
      <c r="AQ100" s="26"/>
      <c r="AR100" s="26">
        <v>36809</v>
      </c>
      <c r="AS100" s="26">
        <v>48270</v>
      </c>
      <c r="AT100" s="26"/>
      <c r="AU100" s="26"/>
      <c r="AV100" s="26">
        <v>19773</v>
      </c>
      <c r="AW100" s="26">
        <v>13116</v>
      </c>
      <c r="AX100" s="26">
        <v>2</v>
      </c>
      <c r="AY100" s="26">
        <v>2</v>
      </c>
      <c r="AZ100" s="26"/>
      <c r="BA100" s="26"/>
      <c r="BB100" s="26">
        <v>-36</v>
      </c>
      <c r="BC100" s="26">
        <v>-24</v>
      </c>
      <c r="BD100" s="26"/>
      <c r="BE100" s="26">
        <v>14078</v>
      </c>
      <c r="BF100" s="26">
        <v>-1411</v>
      </c>
      <c r="BG100" s="26">
        <v>4736</v>
      </c>
      <c r="BH100" s="26">
        <v>38900</v>
      </c>
      <c r="BI100" s="26">
        <v>15636</v>
      </c>
      <c r="BJ100" s="26">
        <v>4226</v>
      </c>
      <c r="BK100" s="26">
        <v>4859</v>
      </c>
      <c r="BL100" s="39">
        <f t="shared" si="8"/>
        <v>500318.12</v>
      </c>
      <c r="BM100" s="39">
        <f t="shared" si="8"/>
        <v>579359.79</v>
      </c>
    </row>
    <row r="101" spans="1:65" x14ac:dyDescent="0.25">
      <c r="A101" s="2"/>
    </row>
    <row r="102" spans="1:65" x14ac:dyDescent="0.25">
      <c r="A102" s="8" t="s">
        <v>189</v>
      </c>
    </row>
    <row r="103" spans="1:65" x14ac:dyDescent="0.25">
      <c r="A103" s="38" t="s">
        <v>0</v>
      </c>
      <c r="B103" s="94" t="s">
        <v>1</v>
      </c>
      <c r="C103" s="95"/>
      <c r="D103" s="94" t="s">
        <v>232</v>
      </c>
      <c r="E103" s="95"/>
      <c r="F103" s="94" t="s">
        <v>2</v>
      </c>
      <c r="G103" s="95"/>
      <c r="H103" s="94" t="s">
        <v>3</v>
      </c>
      <c r="I103" s="95"/>
      <c r="J103" s="94" t="s">
        <v>241</v>
      </c>
      <c r="K103" s="95"/>
      <c r="L103" s="94" t="s">
        <v>233</v>
      </c>
      <c r="M103" s="95"/>
      <c r="N103" s="94" t="s">
        <v>246</v>
      </c>
      <c r="O103" s="95"/>
      <c r="P103" s="94" t="s">
        <v>5</v>
      </c>
      <c r="Q103" s="95"/>
      <c r="R103" s="94" t="s">
        <v>4</v>
      </c>
      <c r="S103" s="95"/>
      <c r="T103" s="94" t="s">
        <v>6</v>
      </c>
      <c r="U103" s="95"/>
      <c r="V103" s="94" t="s">
        <v>7</v>
      </c>
      <c r="W103" s="95"/>
      <c r="X103" s="94" t="s">
        <v>8</v>
      </c>
      <c r="Y103" s="95"/>
      <c r="Z103" s="94" t="s">
        <v>9</v>
      </c>
      <c r="AA103" s="95"/>
      <c r="AB103" s="94" t="s">
        <v>240</v>
      </c>
      <c r="AC103" s="95"/>
      <c r="AD103" s="94" t="s">
        <v>10</v>
      </c>
      <c r="AE103" s="95"/>
      <c r="AF103" s="94" t="s">
        <v>11</v>
      </c>
      <c r="AG103" s="95"/>
      <c r="AH103" s="94" t="s">
        <v>234</v>
      </c>
      <c r="AI103" s="95"/>
      <c r="AJ103" s="94" t="s">
        <v>12</v>
      </c>
      <c r="AK103" s="95"/>
      <c r="AL103" s="94" t="s">
        <v>235</v>
      </c>
      <c r="AM103" s="95"/>
      <c r="AN103" s="94" t="s">
        <v>300</v>
      </c>
      <c r="AO103" s="95"/>
      <c r="AP103" s="94" t="s">
        <v>236</v>
      </c>
      <c r="AQ103" s="95"/>
      <c r="AR103" s="94" t="s">
        <v>239</v>
      </c>
      <c r="AS103" s="95"/>
      <c r="AT103" s="94" t="s">
        <v>13</v>
      </c>
      <c r="AU103" s="95"/>
      <c r="AV103" s="94" t="s">
        <v>14</v>
      </c>
      <c r="AW103" s="95"/>
      <c r="AX103" s="94" t="s">
        <v>15</v>
      </c>
      <c r="AY103" s="95"/>
      <c r="AZ103" s="94" t="s">
        <v>16</v>
      </c>
      <c r="BA103" s="95"/>
      <c r="BB103" s="94" t="s">
        <v>17</v>
      </c>
      <c r="BC103" s="95"/>
      <c r="BD103" s="94" t="s">
        <v>237</v>
      </c>
      <c r="BE103" s="95"/>
      <c r="BF103" s="94" t="s">
        <v>238</v>
      </c>
      <c r="BG103" s="95"/>
      <c r="BH103" s="94" t="s">
        <v>18</v>
      </c>
      <c r="BI103" s="95"/>
      <c r="BJ103" s="94" t="s">
        <v>19</v>
      </c>
      <c r="BK103" s="95"/>
      <c r="BL103" s="96" t="s">
        <v>20</v>
      </c>
      <c r="BM103" s="97"/>
    </row>
    <row r="104" spans="1:65" ht="30" x14ac:dyDescent="0.25">
      <c r="A104" s="38"/>
      <c r="B104" s="34" t="s">
        <v>298</v>
      </c>
      <c r="C104" s="35" t="s">
        <v>299</v>
      </c>
      <c r="D104" s="34" t="s">
        <v>298</v>
      </c>
      <c r="E104" s="35" t="s">
        <v>299</v>
      </c>
      <c r="F104" s="34" t="s">
        <v>298</v>
      </c>
      <c r="G104" s="35" t="s">
        <v>299</v>
      </c>
      <c r="H104" s="34" t="s">
        <v>298</v>
      </c>
      <c r="I104" s="35" t="s">
        <v>299</v>
      </c>
      <c r="J104" s="34" t="s">
        <v>298</v>
      </c>
      <c r="K104" s="35" t="s">
        <v>299</v>
      </c>
      <c r="L104" s="34" t="s">
        <v>298</v>
      </c>
      <c r="M104" s="35" t="s">
        <v>299</v>
      </c>
      <c r="N104" s="34" t="s">
        <v>298</v>
      </c>
      <c r="O104" s="35" t="s">
        <v>299</v>
      </c>
      <c r="P104" s="34" t="s">
        <v>298</v>
      </c>
      <c r="Q104" s="35" t="s">
        <v>299</v>
      </c>
      <c r="R104" s="34" t="s">
        <v>298</v>
      </c>
      <c r="S104" s="35" t="s">
        <v>299</v>
      </c>
      <c r="T104" s="34" t="s">
        <v>298</v>
      </c>
      <c r="U104" s="35" t="s">
        <v>299</v>
      </c>
      <c r="V104" s="34" t="s">
        <v>298</v>
      </c>
      <c r="W104" s="35" t="s">
        <v>299</v>
      </c>
      <c r="X104" s="34" t="s">
        <v>298</v>
      </c>
      <c r="Y104" s="35" t="s">
        <v>299</v>
      </c>
      <c r="Z104" s="34" t="s">
        <v>298</v>
      </c>
      <c r="AA104" s="35" t="s">
        <v>299</v>
      </c>
      <c r="AB104" s="34" t="s">
        <v>298</v>
      </c>
      <c r="AC104" s="35" t="s">
        <v>299</v>
      </c>
      <c r="AD104" s="34" t="s">
        <v>298</v>
      </c>
      <c r="AE104" s="35" t="s">
        <v>299</v>
      </c>
      <c r="AF104" s="34" t="s">
        <v>298</v>
      </c>
      <c r="AG104" s="35" t="s">
        <v>299</v>
      </c>
      <c r="AH104" s="34" t="s">
        <v>298</v>
      </c>
      <c r="AI104" s="35" t="s">
        <v>299</v>
      </c>
      <c r="AJ104" s="34" t="s">
        <v>298</v>
      </c>
      <c r="AK104" s="35" t="s">
        <v>299</v>
      </c>
      <c r="AL104" s="34" t="s">
        <v>298</v>
      </c>
      <c r="AM104" s="35" t="s">
        <v>299</v>
      </c>
      <c r="AN104" s="34" t="s">
        <v>298</v>
      </c>
      <c r="AO104" s="35" t="s">
        <v>299</v>
      </c>
      <c r="AP104" s="34" t="s">
        <v>298</v>
      </c>
      <c r="AQ104" s="35" t="s">
        <v>299</v>
      </c>
      <c r="AR104" s="34" t="s">
        <v>298</v>
      </c>
      <c r="AS104" s="35" t="s">
        <v>299</v>
      </c>
      <c r="AT104" s="34" t="s">
        <v>298</v>
      </c>
      <c r="AU104" s="35" t="s">
        <v>299</v>
      </c>
      <c r="AV104" s="34" t="s">
        <v>298</v>
      </c>
      <c r="AW104" s="35" t="s">
        <v>299</v>
      </c>
      <c r="AX104" s="34" t="s">
        <v>298</v>
      </c>
      <c r="AY104" s="35" t="s">
        <v>299</v>
      </c>
      <c r="AZ104" s="34" t="s">
        <v>298</v>
      </c>
      <c r="BA104" s="35" t="s">
        <v>299</v>
      </c>
      <c r="BB104" s="34" t="s">
        <v>298</v>
      </c>
      <c r="BC104" s="35" t="s">
        <v>299</v>
      </c>
      <c r="BD104" s="34" t="s">
        <v>298</v>
      </c>
      <c r="BE104" s="35" t="s">
        <v>299</v>
      </c>
      <c r="BF104" s="34" t="s">
        <v>298</v>
      </c>
      <c r="BG104" s="35" t="s">
        <v>299</v>
      </c>
      <c r="BH104" s="34" t="s">
        <v>298</v>
      </c>
      <c r="BI104" s="35" t="s">
        <v>299</v>
      </c>
      <c r="BJ104" s="34" t="s">
        <v>298</v>
      </c>
      <c r="BK104" s="35" t="s">
        <v>299</v>
      </c>
      <c r="BL104" s="34" t="s">
        <v>298</v>
      </c>
      <c r="BM104" s="35" t="s">
        <v>299</v>
      </c>
    </row>
    <row r="105" spans="1:65" x14ac:dyDescent="0.25">
      <c r="A105" s="36" t="s">
        <v>278</v>
      </c>
      <c r="B105" s="24">
        <f>B116-B94-B83-B72-B50-B39-B28-B17-B6-B61</f>
        <v>478</v>
      </c>
      <c r="C105" s="24">
        <f t="shared" ref="C105:BK109" si="9">C116-C94-C83-C72-C50-C39-C28-C17-C6-C61</f>
        <v>793</v>
      </c>
      <c r="D105" s="24">
        <f t="shared" si="9"/>
        <v>97</v>
      </c>
      <c r="E105" s="24">
        <f t="shared" si="9"/>
        <v>196</v>
      </c>
      <c r="F105" s="24">
        <f t="shared" si="9"/>
        <v>0</v>
      </c>
      <c r="G105" s="24">
        <f t="shared" si="9"/>
        <v>0</v>
      </c>
      <c r="H105" s="24">
        <f t="shared" si="9"/>
        <v>8533</v>
      </c>
      <c r="I105" s="24">
        <f t="shared" si="9"/>
        <v>16255</v>
      </c>
      <c r="J105" s="24">
        <f t="shared" si="9"/>
        <v>427</v>
      </c>
      <c r="K105" s="24">
        <f t="shared" si="9"/>
        <v>746</v>
      </c>
      <c r="L105" s="24">
        <f t="shared" si="9"/>
        <v>324</v>
      </c>
      <c r="M105" s="24">
        <f t="shared" si="9"/>
        <v>596</v>
      </c>
      <c r="N105" s="24">
        <f t="shared" si="9"/>
        <v>9276</v>
      </c>
      <c r="O105" s="24">
        <f t="shared" si="9"/>
        <v>15769</v>
      </c>
      <c r="P105" s="24">
        <f t="shared" si="9"/>
        <v>21138.94</v>
      </c>
      <c r="Q105" s="24">
        <f t="shared" si="9"/>
        <v>31532.16</v>
      </c>
      <c r="R105" s="24">
        <f t="shared" si="9"/>
        <v>250.3900000000001</v>
      </c>
      <c r="S105" s="24">
        <f t="shared" si="9"/>
        <v>712.95000000000073</v>
      </c>
      <c r="T105" s="24">
        <f t="shared" si="9"/>
        <v>5246.9199999999955</v>
      </c>
      <c r="U105" s="24">
        <f t="shared" si="9"/>
        <v>10467.529999999973</v>
      </c>
      <c r="V105" s="24">
        <f t="shared" si="9"/>
        <v>4786</v>
      </c>
      <c r="W105" s="24">
        <f t="shared" si="9"/>
        <v>11465</v>
      </c>
      <c r="X105" s="24">
        <f t="shared" si="9"/>
        <v>8264</v>
      </c>
      <c r="Y105" s="24">
        <f t="shared" si="9"/>
        <v>15993</v>
      </c>
      <c r="Z105" s="24">
        <f t="shared" si="9"/>
        <v>4281</v>
      </c>
      <c r="AA105" s="24">
        <f t="shared" si="9"/>
        <v>8067</v>
      </c>
      <c r="AB105" s="24">
        <f t="shared" si="9"/>
        <v>59</v>
      </c>
      <c r="AC105" s="24">
        <f t="shared" si="9"/>
        <v>99</v>
      </c>
      <c r="AD105" s="24">
        <f t="shared" si="9"/>
        <v>728</v>
      </c>
      <c r="AE105" s="24">
        <f t="shared" si="9"/>
        <v>1281</v>
      </c>
      <c r="AF105" s="24">
        <f t="shared" si="9"/>
        <v>32</v>
      </c>
      <c r="AG105" s="24">
        <f t="shared" si="9"/>
        <v>44</v>
      </c>
      <c r="AH105" s="24">
        <f t="shared" si="9"/>
        <v>8.3600000000005821</v>
      </c>
      <c r="AI105" s="24">
        <f t="shared" si="9"/>
        <v>19.610000000007858</v>
      </c>
      <c r="AJ105" s="24">
        <f t="shared" si="9"/>
        <v>5481.9499999999898</v>
      </c>
      <c r="AK105" s="24">
        <f t="shared" si="9"/>
        <v>7624.270000000055</v>
      </c>
      <c r="AL105" s="24">
        <f t="shared" si="9"/>
        <v>12</v>
      </c>
      <c r="AM105" s="24">
        <f t="shared" si="9"/>
        <v>80</v>
      </c>
      <c r="AN105" s="24">
        <f t="shared" si="9"/>
        <v>1</v>
      </c>
      <c r="AO105" s="24">
        <f t="shared" si="9"/>
        <v>1</v>
      </c>
      <c r="AP105" s="24">
        <f t="shared" si="9"/>
        <v>14</v>
      </c>
      <c r="AQ105" s="24">
        <f t="shared" si="9"/>
        <v>20</v>
      </c>
      <c r="AR105" s="24">
        <f t="shared" si="9"/>
        <v>1178</v>
      </c>
      <c r="AS105" s="24">
        <f t="shared" si="9"/>
        <v>3560</v>
      </c>
      <c r="AT105" s="24">
        <f t="shared" si="9"/>
        <v>119</v>
      </c>
      <c r="AU105" s="24">
        <f t="shared" si="9"/>
        <v>185</v>
      </c>
      <c r="AV105" s="24">
        <f t="shared" si="9"/>
        <v>683</v>
      </c>
      <c r="AW105" s="24">
        <f t="shared" si="9"/>
        <v>1050</v>
      </c>
      <c r="AX105" s="24">
        <f t="shared" si="9"/>
        <v>91</v>
      </c>
      <c r="AY105" s="24">
        <f t="shared" si="9"/>
        <v>253</v>
      </c>
      <c r="AZ105" s="24">
        <f t="shared" si="9"/>
        <v>30</v>
      </c>
      <c r="BA105" s="24">
        <f t="shared" si="9"/>
        <v>50</v>
      </c>
      <c r="BB105" s="24">
        <f t="shared" si="9"/>
        <v>5909</v>
      </c>
      <c r="BC105" s="24">
        <f t="shared" si="9"/>
        <v>9787</v>
      </c>
      <c r="BD105" s="24">
        <f t="shared" si="9"/>
        <v>0</v>
      </c>
      <c r="BE105" s="24">
        <f t="shared" si="9"/>
        <v>-111142</v>
      </c>
      <c r="BF105" s="24">
        <f t="shared" si="9"/>
        <v>6110</v>
      </c>
      <c r="BG105" s="24">
        <f t="shared" si="9"/>
        <v>10996</v>
      </c>
      <c r="BH105" s="24">
        <f t="shared" si="9"/>
        <v>6382</v>
      </c>
      <c r="BI105" s="24">
        <f t="shared" si="9"/>
        <v>10848</v>
      </c>
      <c r="BJ105" s="24">
        <f t="shared" si="9"/>
        <v>492</v>
      </c>
      <c r="BK105" s="24">
        <f t="shared" si="9"/>
        <v>822</v>
      </c>
      <c r="BL105" s="37">
        <f t="shared" ref="BL105:BM111" si="10">SUM(B105+D105+F105+H105+J105+L105+N105+P105+R105+T105+V105+X105+Z105+AB105+AD105+AF105+AH105+AJ105+AL105+AN105+AP105+AR105+AT105+AV105+AX105+AZ105+BB105+BD105+BF105+BH105+BJ105)</f>
        <v>90432.56</v>
      </c>
      <c r="BM105" s="37">
        <f t="shared" si="10"/>
        <v>48170.520000000019</v>
      </c>
    </row>
    <row r="106" spans="1:65" x14ac:dyDescent="0.25">
      <c r="A106" s="36" t="s">
        <v>279</v>
      </c>
      <c r="B106" s="24">
        <f t="shared" ref="B106:Q111" si="11">B117-B95-B84-B73-B51-B40-B29-B18-B7-B62</f>
        <v>0</v>
      </c>
      <c r="C106" s="24">
        <f t="shared" si="11"/>
        <v>0</v>
      </c>
      <c r="D106" s="24">
        <f t="shared" si="11"/>
        <v>0</v>
      </c>
      <c r="E106" s="24">
        <f t="shared" si="11"/>
        <v>0</v>
      </c>
      <c r="F106" s="24">
        <f t="shared" si="11"/>
        <v>0</v>
      </c>
      <c r="G106" s="24">
        <f t="shared" si="11"/>
        <v>0</v>
      </c>
      <c r="H106" s="24">
        <f t="shared" si="11"/>
        <v>0</v>
      </c>
      <c r="I106" s="24">
        <f t="shared" si="11"/>
        <v>0</v>
      </c>
      <c r="J106" s="24">
        <f t="shared" si="11"/>
        <v>0</v>
      </c>
      <c r="K106" s="24">
        <f t="shared" si="11"/>
        <v>0</v>
      </c>
      <c r="L106" s="24">
        <f t="shared" si="11"/>
        <v>0</v>
      </c>
      <c r="M106" s="24">
        <f t="shared" si="11"/>
        <v>1</v>
      </c>
      <c r="N106" s="24">
        <f t="shared" si="11"/>
        <v>368</v>
      </c>
      <c r="O106" s="24">
        <f t="shared" si="11"/>
        <v>391</v>
      </c>
      <c r="P106" s="24">
        <f t="shared" si="11"/>
        <v>0</v>
      </c>
      <c r="Q106" s="24">
        <f t="shared" si="11"/>
        <v>0</v>
      </c>
      <c r="R106" s="24">
        <f t="shared" si="9"/>
        <v>1.9999999999998685E-2</v>
      </c>
      <c r="S106" s="24">
        <f t="shared" si="9"/>
        <v>9.9999999999962341E-3</v>
      </c>
      <c r="T106" s="24">
        <f t="shared" si="9"/>
        <v>0</v>
      </c>
      <c r="U106" s="24">
        <f t="shared" si="9"/>
        <v>-9.9999999999909051E-3</v>
      </c>
      <c r="V106" s="24">
        <f t="shared" si="9"/>
        <v>1</v>
      </c>
      <c r="W106" s="24">
        <f t="shared" si="9"/>
        <v>0</v>
      </c>
      <c r="X106" s="24">
        <f t="shared" si="9"/>
        <v>0</v>
      </c>
      <c r="Y106" s="24">
        <f t="shared" si="9"/>
        <v>0</v>
      </c>
      <c r="Z106" s="24">
        <f t="shared" si="9"/>
        <v>0</v>
      </c>
      <c r="AA106" s="24">
        <f t="shared" si="9"/>
        <v>0</v>
      </c>
      <c r="AB106" s="24">
        <f t="shared" si="9"/>
        <v>0</v>
      </c>
      <c r="AC106" s="24">
        <f t="shared" si="9"/>
        <v>2</v>
      </c>
      <c r="AD106" s="24">
        <f t="shared" si="9"/>
        <v>0</v>
      </c>
      <c r="AE106" s="24">
        <f t="shared" si="9"/>
        <v>0</v>
      </c>
      <c r="AF106" s="24">
        <f t="shared" si="9"/>
        <v>0</v>
      </c>
      <c r="AG106" s="24">
        <f t="shared" si="9"/>
        <v>0</v>
      </c>
      <c r="AH106" s="24">
        <f t="shared" si="9"/>
        <v>0</v>
      </c>
      <c r="AI106" s="24">
        <f t="shared" si="9"/>
        <v>0</v>
      </c>
      <c r="AJ106" s="24">
        <f t="shared" si="9"/>
        <v>132.59999999999911</v>
      </c>
      <c r="AK106" s="24">
        <f t="shared" si="9"/>
        <v>516.11999999999944</v>
      </c>
      <c r="AL106" s="24">
        <f t="shared" si="9"/>
        <v>0</v>
      </c>
      <c r="AM106" s="24">
        <f t="shared" si="9"/>
        <v>0</v>
      </c>
      <c r="AN106" s="24">
        <f t="shared" si="9"/>
        <v>0</v>
      </c>
      <c r="AO106" s="24">
        <f t="shared" si="9"/>
        <v>0</v>
      </c>
      <c r="AP106" s="24">
        <f t="shared" si="9"/>
        <v>0</v>
      </c>
      <c r="AQ106" s="24">
        <f t="shared" si="9"/>
        <v>0</v>
      </c>
      <c r="AR106" s="24">
        <f t="shared" si="9"/>
        <v>1</v>
      </c>
      <c r="AS106" s="24">
        <f t="shared" si="9"/>
        <v>-1</v>
      </c>
      <c r="AT106" s="24">
        <f t="shared" si="9"/>
        <v>0</v>
      </c>
      <c r="AU106" s="24">
        <f t="shared" si="9"/>
        <v>0</v>
      </c>
      <c r="AV106" s="24">
        <f t="shared" si="9"/>
        <v>0</v>
      </c>
      <c r="AW106" s="24">
        <f t="shared" si="9"/>
        <v>0</v>
      </c>
      <c r="AX106" s="24">
        <f t="shared" si="9"/>
        <v>0</v>
      </c>
      <c r="AY106" s="24">
        <f t="shared" si="9"/>
        <v>0</v>
      </c>
      <c r="AZ106" s="24">
        <f t="shared" si="9"/>
        <v>0</v>
      </c>
      <c r="BA106" s="24">
        <f t="shared" si="9"/>
        <v>0</v>
      </c>
      <c r="BB106" s="24">
        <f t="shared" si="9"/>
        <v>-1</v>
      </c>
      <c r="BC106" s="24">
        <f t="shared" si="9"/>
        <v>1</v>
      </c>
      <c r="BD106" s="24">
        <f t="shared" si="9"/>
        <v>0</v>
      </c>
      <c r="BE106" s="24">
        <f t="shared" si="9"/>
        <v>-25044</v>
      </c>
      <c r="BF106" s="24">
        <f t="shared" si="9"/>
        <v>149</v>
      </c>
      <c r="BG106" s="24">
        <f t="shared" si="9"/>
        <v>759</v>
      </c>
      <c r="BH106" s="24">
        <f t="shared" si="9"/>
        <v>3</v>
      </c>
      <c r="BI106" s="24">
        <f t="shared" si="9"/>
        <v>393</v>
      </c>
      <c r="BJ106" s="24">
        <f t="shared" si="9"/>
        <v>1</v>
      </c>
      <c r="BK106" s="24">
        <f t="shared" si="9"/>
        <v>0</v>
      </c>
      <c r="BL106" s="37">
        <f t="shared" si="10"/>
        <v>654.6199999999991</v>
      </c>
      <c r="BM106" s="37">
        <f t="shared" si="10"/>
        <v>-22981.88</v>
      </c>
    </row>
    <row r="107" spans="1:65" x14ac:dyDescent="0.25">
      <c r="A107" s="36" t="s">
        <v>280</v>
      </c>
      <c r="B107" s="24">
        <f t="shared" si="11"/>
        <v>203</v>
      </c>
      <c r="C107" s="24">
        <f t="shared" si="9"/>
        <v>350</v>
      </c>
      <c r="D107" s="24">
        <f t="shared" si="9"/>
        <v>4</v>
      </c>
      <c r="E107" s="24">
        <f t="shared" si="9"/>
        <v>8</v>
      </c>
      <c r="F107" s="24">
        <f t="shared" si="9"/>
        <v>0</v>
      </c>
      <c r="G107" s="24">
        <f t="shared" si="9"/>
        <v>0</v>
      </c>
      <c r="H107" s="24">
        <f t="shared" si="9"/>
        <v>-4452</v>
      </c>
      <c r="I107" s="24">
        <f t="shared" si="9"/>
        <v>-9373</v>
      </c>
      <c r="J107" s="24">
        <f t="shared" si="9"/>
        <v>58</v>
      </c>
      <c r="K107" s="24">
        <f t="shared" si="9"/>
        <v>110</v>
      </c>
      <c r="L107" s="24">
        <f t="shared" si="9"/>
        <v>28</v>
      </c>
      <c r="M107" s="24">
        <f t="shared" si="9"/>
        <v>59</v>
      </c>
      <c r="N107" s="24">
        <f t="shared" si="9"/>
        <v>4361</v>
      </c>
      <c r="O107" s="24">
        <f t="shared" si="9"/>
        <v>7047</v>
      </c>
      <c r="P107" s="24">
        <f t="shared" si="9"/>
        <v>11918.06</v>
      </c>
      <c r="Q107" s="24">
        <f t="shared" si="9"/>
        <v>14032.35</v>
      </c>
      <c r="R107" s="24">
        <f t="shared" si="9"/>
        <v>12.570000000000007</v>
      </c>
      <c r="S107" s="24" t="e">
        <f t="shared" si="9"/>
        <v>#VALUE!</v>
      </c>
      <c r="T107" s="24">
        <f t="shared" si="9"/>
        <v>1650.0700000000031</v>
      </c>
      <c r="U107" s="24">
        <f t="shared" si="9"/>
        <v>3196.2500000000032</v>
      </c>
      <c r="V107" s="24">
        <f t="shared" si="9"/>
        <v>-1981</v>
      </c>
      <c r="W107" s="24">
        <f t="shared" si="9"/>
        <v>-5467</v>
      </c>
      <c r="X107" s="24">
        <f t="shared" si="9"/>
        <v>1270</v>
      </c>
      <c r="Y107" s="24">
        <f t="shared" si="9"/>
        <v>4139</v>
      </c>
      <c r="Z107" s="24">
        <f t="shared" si="9"/>
        <v>1081</v>
      </c>
      <c r="AA107" s="24">
        <f t="shared" si="9"/>
        <v>2079</v>
      </c>
      <c r="AB107" s="24">
        <f t="shared" si="9"/>
        <v>41</v>
      </c>
      <c r="AC107" s="24">
        <f t="shared" si="9"/>
        <v>63</v>
      </c>
      <c r="AD107" s="24">
        <f t="shared" si="9"/>
        <v>223</v>
      </c>
      <c r="AE107" s="24">
        <f t="shared" si="9"/>
        <v>368</v>
      </c>
      <c r="AF107" s="24">
        <f t="shared" si="9"/>
        <v>-15</v>
      </c>
      <c r="AG107" s="24">
        <f t="shared" si="9"/>
        <v>-17</v>
      </c>
      <c r="AH107" s="24">
        <f t="shared" si="9"/>
        <v>0.39999999999997726</v>
      </c>
      <c r="AI107" s="24">
        <f t="shared" si="9"/>
        <v>0.95000000000004547</v>
      </c>
      <c r="AJ107" s="24">
        <f t="shared" si="9"/>
        <v>470.20000000000351</v>
      </c>
      <c r="AK107" s="24">
        <f t="shared" si="9"/>
        <v>-370.19999999999715</v>
      </c>
      <c r="AL107" s="24">
        <f t="shared" si="9"/>
        <v>-1</v>
      </c>
      <c r="AM107" s="24">
        <f t="shared" si="9"/>
        <v>-4</v>
      </c>
      <c r="AN107" s="24">
        <f t="shared" si="9"/>
        <v>0</v>
      </c>
      <c r="AO107" s="24">
        <f t="shared" si="9"/>
        <v>0</v>
      </c>
      <c r="AP107" s="24">
        <f t="shared" si="9"/>
        <v>2</v>
      </c>
      <c r="AQ107" s="24">
        <f t="shared" si="9"/>
        <v>4</v>
      </c>
      <c r="AR107" s="24">
        <f t="shared" si="9"/>
        <v>144</v>
      </c>
      <c r="AS107" s="24">
        <f t="shared" si="9"/>
        <v>1690</v>
      </c>
      <c r="AT107" s="24">
        <f t="shared" si="9"/>
        <v>65</v>
      </c>
      <c r="AU107" s="24">
        <f t="shared" si="9"/>
        <v>93</v>
      </c>
      <c r="AV107" s="24">
        <f t="shared" si="9"/>
        <v>121</v>
      </c>
      <c r="AW107" s="24">
        <f t="shared" si="9"/>
        <v>125</v>
      </c>
      <c r="AX107" s="24">
        <f t="shared" si="9"/>
        <v>33</v>
      </c>
      <c r="AY107" s="24">
        <f t="shared" si="9"/>
        <v>50</v>
      </c>
      <c r="AZ107" s="24">
        <f t="shared" si="9"/>
        <v>23</v>
      </c>
      <c r="BA107" s="24">
        <f t="shared" si="9"/>
        <v>39</v>
      </c>
      <c r="BB107" s="24">
        <f t="shared" si="9"/>
        <v>2018</v>
      </c>
      <c r="BC107" s="24">
        <f t="shared" si="9"/>
        <v>2433</v>
      </c>
      <c r="BD107" s="24">
        <f t="shared" si="9"/>
        <v>0</v>
      </c>
      <c r="BE107" s="24">
        <f t="shared" si="9"/>
        <v>-30765</v>
      </c>
      <c r="BF107" s="24">
        <f t="shared" si="9"/>
        <v>1137</v>
      </c>
      <c r="BG107" s="24">
        <f t="shared" si="9"/>
        <v>1487</v>
      </c>
      <c r="BH107" s="24">
        <f t="shared" si="9"/>
        <v>592</v>
      </c>
      <c r="BI107" s="24">
        <f t="shared" si="9"/>
        <v>1048</v>
      </c>
      <c r="BJ107" s="24">
        <f t="shared" si="9"/>
        <v>150</v>
      </c>
      <c r="BK107" s="24">
        <f t="shared" si="9"/>
        <v>236</v>
      </c>
      <c r="BL107" s="37">
        <f t="shared" si="10"/>
        <v>19156.300000000007</v>
      </c>
      <c r="BM107" s="37" t="e">
        <f t="shared" si="10"/>
        <v>#VALUE!</v>
      </c>
    </row>
    <row r="108" spans="1:65" s="4" customFormat="1" x14ac:dyDescent="0.25">
      <c r="A108" s="38" t="s">
        <v>281</v>
      </c>
      <c r="B108" s="26">
        <f t="shared" si="11"/>
        <v>275</v>
      </c>
      <c r="C108" s="26">
        <f t="shared" si="9"/>
        <v>442</v>
      </c>
      <c r="D108" s="26">
        <f t="shared" si="9"/>
        <v>93</v>
      </c>
      <c r="E108" s="26">
        <f t="shared" si="9"/>
        <v>188</v>
      </c>
      <c r="F108" s="26">
        <f t="shared" si="9"/>
        <v>0</v>
      </c>
      <c r="G108" s="26">
        <f t="shared" si="9"/>
        <v>0</v>
      </c>
      <c r="H108" s="26">
        <f t="shared" si="9"/>
        <v>4085</v>
      </c>
      <c r="I108" s="26">
        <f t="shared" si="9"/>
        <v>6881</v>
      </c>
      <c r="J108" s="26">
        <f t="shared" si="9"/>
        <v>369</v>
      </c>
      <c r="K108" s="26">
        <f t="shared" si="9"/>
        <v>636</v>
      </c>
      <c r="L108" s="26">
        <f t="shared" si="9"/>
        <v>294</v>
      </c>
      <c r="M108" s="26">
        <f t="shared" si="9"/>
        <v>538</v>
      </c>
      <c r="N108" s="26">
        <f t="shared" si="9"/>
        <v>5283</v>
      </c>
      <c r="O108" s="26">
        <f t="shared" si="9"/>
        <v>9113</v>
      </c>
      <c r="P108" s="26">
        <f t="shared" si="9"/>
        <v>8267.86</v>
      </c>
      <c r="Q108" s="26">
        <f t="shared" si="9"/>
        <v>14508.88</v>
      </c>
      <c r="R108" s="26">
        <f t="shared" si="9"/>
        <v>237.83999999999924</v>
      </c>
      <c r="S108" s="26">
        <f t="shared" si="9"/>
        <v>675.9200000000011</v>
      </c>
      <c r="T108" s="26">
        <f t="shared" si="9"/>
        <v>3596.8500000000104</v>
      </c>
      <c r="U108" s="26">
        <f t="shared" si="9"/>
        <v>7271.2900000000027</v>
      </c>
      <c r="V108" s="26">
        <f t="shared" si="9"/>
        <v>2802</v>
      </c>
      <c r="W108" s="26">
        <f t="shared" si="9"/>
        <v>5998</v>
      </c>
      <c r="X108" s="26">
        <f t="shared" si="9"/>
        <v>6994</v>
      </c>
      <c r="Y108" s="26">
        <f t="shared" si="9"/>
        <v>11854</v>
      </c>
      <c r="Z108" s="26">
        <f t="shared" si="9"/>
        <v>3200</v>
      </c>
      <c r="AA108" s="26">
        <f t="shared" si="9"/>
        <v>5988</v>
      </c>
      <c r="AB108" s="26">
        <f t="shared" si="9"/>
        <v>18</v>
      </c>
      <c r="AC108" s="26">
        <f t="shared" si="9"/>
        <v>37</v>
      </c>
      <c r="AD108" s="26">
        <f t="shared" si="9"/>
        <v>506</v>
      </c>
      <c r="AE108" s="26">
        <f t="shared" si="9"/>
        <v>914</v>
      </c>
      <c r="AF108" s="26">
        <f t="shared" si="9"/>
        <v>18</v>
      </c>
      <c r="AG108" s="26">
        <f t="shared" si="9"/>
        <v>27</v>
      </c>
      <c r="AH108" s="26">
        <f t="shared" si="9"/>
        <v>7.9599999999991269</v>
      </c>
      <c r="AI108" s="26">
        <f t="shared" si="9"/>
        <v>18.660000000003492</v>
      </c>
      <c r="AJ108" s="26">
        <f t="shared" si="9"/>
        <v>5144.3399999999365</v>
      </c>
      <c r="AK108" s="26">
        <f t="shared" si="9"/>
        <v>8510.5900000001184</v>
      </c>
      <c r="AL108" s="26">
        <f t="shared" si="9"/>
        <v>11</v>
      </c>
      <c r="AM108" s="26">
        <f t="shared" si="9"/>
        <v>76</v>
      </c>
      <c r="AN108" s="26">
        <f t="shared" si="9"/>
        <v>1</v>
      </c>
      <c r="AO108" s="26">
        <f t="shared" si="9"/>
        <v>1</v>
      </c>
      <c r="AP108" s="26">
        <f t="shared" si="9"/>
        <v>14</v>
      </c>
      <c r="AQ108" s="26">
        <f t="shared" si="9"/>
        <v>18</v>
      </c>
      <c r="AR108" s="26">
        <f t="shared" si="9"/>
        <v>1033</v>
      </c>
      <c r="AS108" s="26">
        <f t="shared" si="9"/>
        <v>1869</v>
      </c>
      <c r="AT108" s="26">
        <f t="shared" si="9"/>
        <v>54</v>
      </c>
      <c r="AU108" s="26">
        <f t="shared" si="9"/>
        <v>93</v>
      </c>
      <c r="AV108" s="26">
        <f t="shared" si="9"/>
        <v>565</v>
      </c>
      <c r="AW108" s="26">
        <f t="shared" si="9"/>
        <v>927</v>
      </c>
      <c r="AX108" s="26">
        <f t="shared" si="9"/>
        <v>59</v>
      </c>
      <c r="AY108" s="26">
        <f t="shared" si="9"/>
        <v>201</v>
      </c>
      <c r="AZ108" s="26">
        <f t="shared" si="9"/>
        <v>7</v>
      </c>
      <c r="BA108" s="26">
        <f t="shared" si="9"/>
        <v>11</v>
      </c>
      <c r="BB108" s="26">
        <f t="shared" si="9"/>
        <v>3892</v>
      </c>
      <c r="BC108" s="26">
        <f t="shared" si="9"/>
        <v>7353</v>
      </c>
      <c r="BD108" s="26">
        <f t="shared" si="9"/>
        <v>0</v>
      </c>
      <c r="BE108" s="26">
        <f t="shared" si="9"/>
        <v>-105420</v>
      </c>
      <c r="BF108" s="26">
        <f t="shared" si="9"/>
        <v>5123</v>
      </c>
      <c r="BG108" s="26">
        <f t="shared" si="9"/>
        <v>10265</v>
      </c>
      <c r="BH108" s="26">
        <f t="shared" si="9"/>
        <v>5793</v>
      </c>
      <c r="BI108" s="26">
        <f t="shared" si="9"/>
        <v>10191</v>
      </c>
      <c r="BJ108" s="26">
        <f t="shared" si="9"/>
        <v>343</v>
      </c>
      <c r="BK108" s="26">
        <f t="shared" si="9"/>
        <v>586</v>
      </c>
      <c r="BL108" s="39">
        <f t="shared" si="10"/>
        <v>58086.849999999948</v>
      </c>
      <c r="BM108" s="39">
        <f t="shared" si="10"/>
        <v>-227.65999999988708</v>
      </c>
    </row>
    <row r="109" spans="1:65" x14ac:dyDescent="0.25">
      <c r="A109" s="36" t="s">
        <v>282</v>
      </c>
      <c r="B109" s="24">
        <f t="shared" si="11"/>
        <v>414</v>
      </c>
      <c r="C109" s="24">
        <f t="shared" si="9"/>
        <v>414</v>
      </c>
      <c r="D109" s="24">
        <f t="shared" si="9"/>
        <v>273</v>
      </c>
      <c r="E109" s="24">
        <f t="shared" si="9"/>
        <v>273</v>
      </c>
      <c r="F109" s="24">
        <f t="shared" si="9"/>
        <v>0</v>
      </c>
      <c r="G109" s="24">
        <f t="shared" si="9"/>
        <v>0</v>
      </c>
      <c r="H109" s="24">
        <f t="shared" si="9"/>
        <v>27128</v>
      </c>
      <c r="I109" s="24">
        <f t="shared" si="9"/>
        <v>27128</v>
      </c>
      <c r="J109" s="24">
        <f t="shared" si="9"/>
        <v>4960</v>
      </c>
      <c r="K109" s="24">
        <f t="shared" si="9"/>
        <v>4960</v>
      </c>
      <c r="L109" s="24">
        <f t="shared" si="9"/>
        <v>1507</v>
      </c>
      <c r="M109" s="24">
        <f t="shared" si="9"/>
        <v>1507</v>
      </c>
      <c r="N109" s="24">
        <f t="shared" si="9"/>
        <v>19339</v>
      </c>
      <c r="O109" s="24">
        <f t="shared" si="9"/>
        <v>19339</v>
      </c>
      <c r="P109" s="24">
        <f t="shared" si="9"/>
        <v>-34245.21</v>
      </c>
      <c r="Q109" s="24">
        <f t="shared" si="9"/>
        <v>654055.1</v>
      </c>
      <c r="R109" s="24">
        <f t="shared" si="9"/>
        <v>126.02999999999891</v>
      </c>
      <c r="S109" s="24">
        <f t="shared" si="9"/>
        <v>126.02999999999891</v>
      </c>
      <c r="T109" s="24">
        <f t="shared" si="9"/>
        <v>9910.7500000000309</v>
      </c>
      <c r="U109" s="24">
        <f t="shared" si="9"/>
        <v>9910.7500000000309</v>
      </c>
      <c r="V109" s="24">
        <f t="shared" si="9"/>
        <v>23567</v>
      </c>
      <c r="W109" s="24">
        <f t="shared" si="9"/>
        <v>23567</v>
      </c>
      <c r="X109" s="24">
        <f t="shared" si="9"/>
        <v>60285</v>
      </c>
      <c r="Y109" s="24">
        <f t="shared" si="9"/>
        <v>60285</v>
      </c>
      <c r="Z109" s="24">
        <f t="shared" si="9"/>
        <v>3991</v>
      </c>
      <c r="AA109" s="24">
        <f t="shared" si="9"/>
        <v>20587</v>
      </c>
      <c r="AB109" s="24">
        <f t="shared" si="9"/>
        <v>379</v>
      </c>
      <c r="AC109" s="24">
        <f t="shared" ref="AC109:BK109" si="12">AC120-AC98-AC87-AC76-AC54-AC43-AC32-AC21-AC10-AC65</f>
        <v>379</v>
      </c>
      <c r="AD109" s="24">
        <f t="shared" si="12"/>
        <v>1995</v>
      </c>
      <c r="AE109" s="24">
        <f t="shared" si="12"/>
        <v>1995</v>
      </c>
      <c r="AF109" s="24">
        <f t="shared" si="12"/>
        <v>385</v>
      </c>
      <c r="AG109" s="24">
        <f t="shared" si="12"/>
        <v>385</v>
      </c>
      <c r="AH109" s="24">
        <f t="shared" si="12"/>
        <v>36.529999999998836</v>
      </c>
      <c r="AI109" s="24">
        <f t="shared" si="12"/>
        <v>36.519999999998618</v>
      </c>
      <c r="AJ109" s="24">
        <f t="shared" si="12"/>
        <v>882.75999999999794</v>
      </c>
      <c r="AK109" s="24">
        <f t="shared" si="12"/>
        <v>63814.679999999753</v>
      </c>
      <c r="AL109" s="24">
        <f t="shared" si="12"/>
        <v>127</v>
      </c>
      <c r="AM109" s="24">
        <f t="shared" si="12"/>
        <v>127</v>
      </c>
      <c r="AN109" s="24">
        <f t="shared" si="12"/>
        <v>6</v>
      </c>
      <c r="AO109" s="24">
        <f t="shared" si="12"/>
        <v>6</v>
      </c>
      <c r="AP109" s="24">
        <f t="shared" si="12"/>
        <v>273</v>
      </c>
      <c r="AQ109" s="24">
        <f t="shared" si="12"/>
        <v>273</v>
      </c>
      <c r="AR109" s="24">
        <f t="shared" si="12"/>
        <v>9627</v>
      </c>
      <c r="AS109" s="24">
        <f t="shared" si="12"/>
        <v>9627</v>
      </c>
      <c r="AT109" s="24">
        <f t="shared" si="12"/>
        <v>4502</v>
      </c>
      <c r="AU109" s="24">
        <f t="shared" si="12"/>
        <v>4502</v>
      </c>
      <c r="AV109" s="24">
        <f t="shared" si="12"/>
        <v>6361</v>
      </c>
      <c r="AW109" s="24">
        <f t="shared" si="12"/>
        <v>6361</v>
      </c>
      <c r="AX109" s="24">
        <f t="shared" si="12"/>
        <v>153</v>
      </c>
      <c r="AY109" s="24">
        <f t="shared" si="12"/>
        <v>1949</v>
      </c>
      <c r="AZ109" s="24">
        <f t="shared" si="12"/>
        <v>0</v>
      </c>
      <c r="BA109" s="24">
        <f t="shared" si="12"/>
        <v>52</v>
      </c>
      <c r="BB109" s="24">
        <f t="shared" si="12"/>
        <v>21801</v>
      </c>
      <c r="BC109" s="24">
        <f t="shared" si="12"/>
        <v>21801</v>
      </c>
      <c r="BD109" s="24">
        <f t="shared" si="12"/>
        <v>0</v>
      </c>
      <c r="BE109" s="24">
        <f t="shared" si="12"/>
        <v>-340838</v>
      </c>
      <c r="BF109" s="24">
        <f t="shared" si="12"/>
        <v>-3522</v>
      </c>
      <c r="BG109" s="24">
        <f t="shared" si="12"/>
        <v>29573</v>
      </c>
      <c r="BH109" s="24">
        <f t="shared" si="12"/>
        <v>0</v>
      </c>
      <c r="BI109" s="24">
        <f t="shared" si="12"/>
        <v>0</v>
      </c>
      <c r="BJ109" s="24">
        <f t="shared" si="12"/>
        <v>-228</v>
      </c>
      <c r="BK109" s="24">
        <f t="shared" si="12"/>
        <v>2361</v>
      </c>
      <c r="BL109" s="37">
        <f t="shared" si="10"/>
        <v>160033.86000000004</v>
      </c>
      <c r="BM109" s="37">
        <f t="shared" si="10"/>
        <v>624556.07999999973</v>
      </c>
    </row>
    <row r="110" spans="1:65" ht="30" x14ac:dyDescent="0.25">
      <c r="A110" s="36" t="s">
        <v>283</v>
      </c>
      <c r="B110" s="24">
        <f t="shared" si="11"/>
        <v>339</v>
      </c>
      <c r="C110" s="24">
        <f t="shared" si="11"/>
        <v>239</v>
      </c>
      <c r="D110" s="24">
        <f t="shared" si="11"/>
        <v>274</v>
      </c>
      <c r="E110" s="24">
        <f t="shared" si="11"/>
        <v>447</v>
      </c>
      <c r="F110" s="24">
        <f t="shared" si="11"/>
        <v>0</v>
      </c>
      <c r="G110" s="24">
        <f t="shared" si="11"/>
        <v>0</v>
      </c>
      <c r="H110" s="24">
        <f t="shared" si="11"/>
        <v>25840</v>
      </c>
      <c r="I110" s="24">
        <f t="shared" si="11"/>
        <v>24549</v>
      </c>
      <c r="J110" s="24">
        <f t="shared" si="11"/>
        <v>3915</v>
      </c>
      <c r="K110" s="24">
        <f t="shared" si="11"/>
        <v>3828</v>
      </c>
      <c r="L110" s="24">
        <f t="shared" si="11"/>
        <v>1359</v>
      </c>
      <c r="M110" s="24">
        <f t="shared" si="11"/>
        <v>1248</v>
      </c>
      <c r="N110" s="24">
        <f t="shared" si="11"/>
        <v>16048</v>
      </c>
      <c r="O110" s="24">
        <f t="shared" si="11"/>
        <v>9838</v>
      </c>
      <c r="P110" s="24">
        <f t="shared" si="11"/>
        <v>0</v>
      </c>
      <c r="Q110" s="24">
        <f t="shared" si="11"/>
        <v>699296.58</v>
      </c>
      <c r="R110" s="24">
        <f t="shared" ref="R110:BK111" si="13">R121-R99-R88-R77-R55-R44-R33-R22-R11-R66</f>
        <v>83.779999999996861</v>
      </c>
      <c r="S110" s="24">
        <f t="shared" si="13"/>
        <v>71.370000000000644</v>
      </c>
      <c r="T110" s="24">
        <f t="shared" si="13"/>
        <v>9803.4899999999579</v>
      </c>
      <c r="U110" s="24">
        <f t="shared" si="13"/>
        <v>10358.61999999999</v>
      </c>
      <c r="V110" s="24">
        <f t="shared" si="13"/>
        <v>-21357</v>
      </c>
      <c r="W110" s="24">
        <f t="shared" si="13"/>
        <v>-20109</v>
      </c>
      <c r="X110" s="24">
        <f t="shared" si="13"/>
        <v>55456</v>
      </c>
      <c r="Y110" s="24">
        <f t="shared" si="13"/>
        <v>52995</v>
      </c>
      <c r="Z110" s="24">
        <f t="shared" si="13"/>
        <v>0</v>
      </c>
      <c r="AA110" s="24">
        <f t="shared" si="13"/>
        <v>11800</v>
      </c>
      <c r="AB110" s="24">
        <f t="shared" si="13"/>
        <v>327</v>
      </c>
      <c r="AC110" s="24">
        <f t="shared" si="13"/>
        <v>310</v>
      </c>
      <c r="AD110" s="24">
        <f t="shared" si="13"/>
        <v>1935</v>
      </c>
      <c r="AE110" s="24">
        <f t="shared" si="13"/>
        <v>1772</v>
      </c>
      <c r="AF110" s="24">
        <f t="shared" si="13"/>
        <v>-385</v>
      </c>
      <c r="AG110" s="24">
        <f t="shared" si="13"/>
        <v>-399</v>
      </c>
      <c r="AH110" s="24">
        <f t="shared" si="13"/>
        <v>38.179999999998472</v>
      </c>
      <c r="AI110" s="24">
        <f t="shared" si="13"/>
        <v>44.950000000000728</v>
      </c>
      <c r="AJ110" s="24">
        <f t="shared" si="13"/>
        <v>0</v>
      </c>
      <c r="AK110" s="24">
        <f t="shared" si="13"/>
        <v>57613.349999999729</v>
      </c>
      <c r="AL110" s="24">
        <f t="shared" si="13"/>
        <v>-138</v>
      </c>
      <c r="AM110" s="24">
        <f t="shared" si="13"/>
        <v>-141</v>
      </c>
      <c r="AN110" s="24">
        <f t="shared" si="13"/>
        <v>0</v>
      </c>
      <c r="AO110" s="24">
        <f t="shared" si="13"/>
        <v>0</v>
      </c>
      <c r="AP110" s="24">
        <f t="shared" si="13"/>
        <v>313</v>
      </c>
      <c r="AQ110" s="24">
        <f t="shared" si="13"/>
        <v>271</v>
      </c>
      <c r="AR110" s="24">
        <f t="shared" si="13"/>
        <v>8684</v>
      </c>
      <c r="AS110" s="24">
        <f t="shared" si="13"/>
        <v>7986</v>
      </c>
      <c r="AT110" s="24">
        <f t="shared" si="13"/>
        <v>4427</v>
      </c>
      <c r="AU110" s="24">
        <f t="shared" si="13"/>
        <v>4364</v>
      </c>
      <c r="AV110" s="24">
        <f t="shared" si="13"/>
        <v>6077</v>
      </c>
      <c r="AW110" s="24">
        <f t="shared" si="13"/>
        <v>5637</v>
      </c>
      <c r="AX110" s="24">
        <f t="shared" si="13"/>
        <v>-4</v>
      </c>
      <c r="AY110" s="24">
        <f t="shared" si="13"/>
        <v>1858</v>
      </c>
      <c r="AZ110" s="24">
        <f t="shared" si="13"/>
        <v>0</v>
      </c>
      <c r="BA110" s="24">
        <f t="shared" si="13"/>
        <v>65</v>
      </c>
      <c r="BB110" s="24">
        <f t="shared" si="13"/>
        <v>18833</v>
      </c>
      <c r="BC110" s="24">
        <f t="shared" si="13"/>
        <v>16752</v>
      </c>
      <c r="BD110" s="24">
        <f t="shared" si="13"/>
        <v>0</v>
      </c>
      <c r="BE110" s="24">
        <f t="shared" si="13"/>
        <v>-369306</v>
      </c>
      <c r="BF110" s="24">
        <f t="shared" si="13"/>
        <v>0</v>
      </c>
      <c r="BG110" s="24">
        <f t="shared" si="13"/>
        <v>31326</v>
      </c>
      <c r="BH110" s="24">
        <f t="shared" si="13"/>
        <v>0</v>
      </c>
      <c r="BI110" s="24">
        <f t="shared" si="13"/>
        <v>0</v>
      </c>
      <c r="BJ110" s="24">
        <f t="shared" si="13"/>
        <v>0</v>
      </c>
      <c r="BK110" s="24">
        <f t="shared" si="13"/>
        <v>2660</v>
      </c>
      <c r="BL110" s="37">
        <f t="shared" si="10"/>
        <v>131868.44999999995</v>
      </c>
      <c r="BM110" s="37">
        <f t="shared" si="10"/>
        <v>555374.86999999965</v>
      </c>
    </row>
    <row r="111" spans="1:65" s="4" customFormat="1" x14ac:dyDescent="0.25">
      <c r="A111" s="38" t="s">
        <v>284</v>
      </c>
      <c r="B111" s="26">
        <f t="shared" si="11"/>
        <v>350</v>
      </c>
      <c r="C111" s="26">
        <f t="shared" si="11"/>
        <v>617</v>
      </c>
      <c r="D111" s="26">
        <f t="shared" si="11"/>
        <v>92</v>
      </c>
      <c r="E111" s="26">
        <f t="shared" si="11"/>
        <v>14</v>
      </c>
      <c r="F111" s="26">
        <f t="shared" si="11"/>
        <v>0</v>
      </c>
      <c r="G111" s="26">
        <f t="shared" si="11"/>
        <v>0</v>
      </c>
      <c r="H111" s="26">
        <f t="shared" si="11"/>
        <v>5372</v>
      </c>
      <c r="I111" s="26">
        <f t="shared" si="11"/>
        <v>9462</v>
      </c>
      <c r="J111" s="26">
        <f t="shared" si="11"/>
        <v>1414</v>
      </c>
      <c r="K111" s="26">
        <f t="shared" si="11"/>
        <v>1768</v>
      </c>
      <c r="L111" s="26">
        <f t="shared" si="11"/>
        <v>444</v>
      </c>
      <c r="M111" s="26">
        <f t="shared" si="11"/>
        <v>798</v>
      </c>
      <c r="N111" s="26">
        <f t="shared" si="11"/>
        <v>8574</v>
      </c>
      <c r="O111" s="26">
        <f t="shared" si="11"/>
        <v>18614</v>
      </c>
      <c r="P111" s="26">
        <f t="shared" si="11"/>
        <v>-25977.35</v>
      </c>
      <c r="Q111" s="26">
        <f t="shared" si="11"/>
        <v>-30732.6</v>
      </c>
      <c r="R111" s="26">
        <f t="shared" si="13"/>
        <v>280.09000000000003</v>
      </c>
      <c r="S111" s="26">
        <f t="shared" si="13"/>
        <v>730.58000000000163</v>
      </c>
      <c r="T111" s="26">
        <f t="shared" si="13"/>
        <v>3704.0800000000031</v>
      </c>
      <c r="U111" s="26">
        <f t="shared" si="13"/>
        <v>6823.3999999999942</v>
      </c>
      <c r="V111" s="26">
        <f t="shared" si="13"/>
        <v>5014</v>
      </c>
      <c r="W111" s="26">
        <f t="shared" si="13"/>
        <v>9455</v>
      </c>
      <c r="X111" s="26">
        <f t="shared" si="13"/>
        <v>11823</v>
      </c>
      <c r="Y111" s="26">
        <f t="shared" si="13"/>
        <v>19144</v>
      </c>
      <c r="Z111" s="26">
        <f t="shared" si="13"/>
        <v>7191</v>
      </c>
      <c r="AA111" s="26">
        <f t="shared" si="13"/>
        <v>14775</v>
      </c>
      <c r="AB111" s="26">
        <f t="shared" si="13"/>
        <v>68</v>
      </c>
      <c r="AC111" s="26">
        <f t="shared" si="13"/>
        <v>102</v>
      </c>
      <c r="AD111" s="26">
        <f t="shared" si="13"/>
        <v>566</v>
      </c>
      <c r="AE111" s="26">
        <f t="shared" si="13"/>
        <v>1136</v>
      </c>
      <c r="AF111" s="26">
        <f t="shared" si="13"/>
        <v>20</v>
      </c>
      <c r="AG111" s="26">
        <f t="shared" si="13"/>
        <v>12</v>
      </c>
      <c r="AH111" s="26">
        <f t="shared" si="13"/>
        <v>6.3100000000013097</v>
      </c>
      <c r="AI111" s="26">
        <f t="shared" si="13"/>
        <v>10.25</v>
      </c>
      <c r="AJ111" s="26">
        <f t="shared" si="13"/>
        <v>6027.1099999999733</v>
      </c>
      <c r="AK111" s="26">
        <f t="shared" si="13"/>
        <v>14711.910000000104</v>
      </c>
      <c r="AL111" s="26">
        <f t="shared" si="13"/>
        <v>0</v>
      </c>
      <c r="AM111" s="26">
        <f t="shared" si="13"/>
        <v>62</v>
      </c>
      <c r="AN111" s="26">
        <f t="shared" si="13"/>
        <v>6</v>
      </c>
      <c r="AO111" s="26">
        <f t="shared" si="13"/>
        <v>6</v>
      </c>
      <c r="AP111" s="26">
        <f t="shared" si="13"/>
        <v>-27</v>
      </c>
      <c r="AQ111" s="26">
        <f t="shared" si="13"/>
        <v>20</v>
      </c>
      <c r="AR111" s="26">
        <f t="shared" si="13"/>
        <v>1979</v>
      </c>
      <c r="AS111" s="26">
        <f t="shared" si="13"/>
        <v>3510</v>
      </c>
      <c r="AT111" s="26">
        <f t="shared" si="13"/>
        <v>130</v>
      </c>
      <c r="AU111" s="26">
        <f t="shared" si="13"/>
        <v>232</v>
      </c>
      <c r="AV111" s="26">
        <f t="shared" si="13"/>
        <v>847</v>
      </c>
      <c r="AW111" s="26">
        <f t="shared" si="13"/>
        <v>1650</v>
      </c>
      <c r="AX111" s="26">
        <f t="shared" si="13"/>
        <v>216</v>
      </c>
      <c r="AY111" s="26">
        <f t="shared" si="13"/>
        <v>291</v>
      </c>
      <c r="AZ111" s="26">
        <f t="shared" si="13"/>
        <v>6</v>
      </c>
      <c r="BA111" s="26">
        <f t="shared" si="13"/>
        <v>-1</v>
      </c>
      <c r="BB111" s="26">
        <f t="shared" si="13"/>
        <v>6858</v>
      </c>
      <c r="BC111" s="26">
        <f t="shared" si="13"/>
        <v>12401</v>
      </c>
      <c r="BD111" s="26">
        <f t="shared" si="13"/>
        <v>0</v>
      </c>
      <c r="BE111" s="26">
        <f t="shared" si="13"/>
        <v>-76952</v>
      </c>
      <c r="BF111" s="26">
        <f t="shared" si="13"/>
        <v>1598</v>
      </c>
      <c r="BG111" s="26">
        <f t="shared" si="13"/>
        <v>8512</v>
      </c>
      <c r="BH111" s="26">
        <f t="shared" si="13"/>
        <v>5902</v>
      </c>
      <c r="BI111" s="26">
        <f t="shared" si="13"/>
        <v>11152</v>
      </c>
      <c r="BJ111" s="26">
        <f t="shared" si="13"/>
        <v>115</v>
      </c>
      <c r="BK111" s="26">
        <f t="shared" si="13"/>
        <v>284</v>
      </c>
      <c r="BL111" s="39">
        <f t="shared" si="10"/>
        <v>42598.239999999983</v>
      </c>
      <c r="BM111" s="39">
        <f t="shared" si="10"/>
        <v>28607.540000000095</v>
      </c>
    </row>
    <row r="112" spans="1:65" x14ac:dyDescent="0.25">
      <c r="A112" s="2"/>
    </row>
    <row r="113" spans="1:65" x14ac:dyDescent="0.25">
      <c r="A113" s="8" t="s">
        <v>40</v>
      </c>
    </row>
    <row r="114" spans="1:65" x14ac:dyDescent="0.25">
      <c r="A114" s="38" t="s">
        <v>0</v>
      </c>
      <c r="B114" s="94" t="s">
        <v>1</v>
      </c>
      <c r="C114" s="95"/>
      <c r="D114" s="94" t="s">
        <v>232</v>
      </c>
      <c r="E114" s="95"/>
      <c r="F114" s="94" t="s">
        <v>2</v>
      </c>
      <c r="G114" s="95"/>
      <c r="H114" s="94" t="s">
        <v>3</v>
      </c>
      <c r="I114" s="95"/>
      <c r="J114" s="94" t="s">
        <v>241</v>
      </c>
      <c r="K114" s="95"/>
      <c r="L114" s="94" t="s">
        <v>233</v>
      </c>
      <c r="M114" s="95"/>
      <c r="N114" s="94" t="s">
        <v>246</v>
      </c>
      <c r="O114" s="95"/>
      <c r="P114" s="94" t="s">
        <v>5</v>
      </c>
      <c r="Q114" s="95"/>
      <c r="R114" s="94" t="s">
        <v>4</v>
      </c>
      <c r="S114" s="95"/>
      <c r="T114" s="94" t="s">
        <v>6</v>
      </c>
      <c r="U114" s="95"/>
      <c r="V114" s="94" t="s">
        <v>7</v>
      </c>
      <c r="W114" s="95"/>
      <c r="X114" s="94" t="s">
        <v>8</v>
      </c>
      <c r="Y114" s="95"/>
      <c r="Z114" s="94" t="s">
        <v>9</v>
      </c>
      <c r="AA114" s="95"/>
      <c r="AB114" s="94" t="s">
        <v>240</v>
      </c>
      <c r="AC114" s="95"/>
      <c r="AD114" s="94" t="s">
        <v>10</v>
      </c>
      <c r="AE114" s="95"/>
      <c r="AF114" s="94" t="s">
        <v>11</v>
      </c>
      <c r="AG114" s="95"/>
      <c r="AH114" s="94" t="s">
        <v>234</v>
      </c>
      <c r="AI114" s="95"/>
      <c r="AJ114" s="94" t="s">
        <v>12</v>
      </c>
      <c r="AK114" s="95"/>
      <c r="AL114" s="94" t="s">
        <v>235</v>
      </c>
      <c r="AM114" s="95"/>
      <c r="AN114" s="94" t="s">
        <v>300</v>
      </c>
      <c r="AO114" s="95"/>
      <c r="AP114" s="94" t="s">
        <v>236</v>
      </c>
      <c r="AQ114" s="95"/>
      <c r="AR114" s="94" t="s">
        <v>239</v>
      </c>
      <c r="AS114" s="95"/>
      <c r="AT114" s="94" t="s">
        <v>13</v>
      </c>
      <c r="AU114" s="95"/>
      <c r="AV114" s="94" t="s">
        <v>14</v>
      </c>
      <c r="AW114" s="95"/>
      <c r="AX114" s="94" t="s">
        <v>15</v>
      </c>
      <c r="AY114" s="95"/>
      <c r="AZ114" s="94" t="s">
        <v>16</v>
      </c>
      <c r="BA114" s="95"/>
      <c r="BB114" s="94" t="s">
        <v>17</v>
      </c>
      <c r="BC114" s="95"/>
      <c r="BD114" s="94" t="s">
        <v>237</v>
      </c>
      <c r="BE114" s="95"/>
      <c r="BF114" s="94" t="s">
        <v>238</v>
      </c>
      <c r="BG114" s="95"/>
      <c r="BH114" s="94" t="s">
        <v>18</v>
      </c>
      <c r="BI114" s="95"/>
      <c r="BJ114" s="94" t="s">
        <v>19</v>
      </c>
      <c r="BK114" s="95"/>
      <c r="BL114" s="96" t="s">
        <v>20</v>
      </c>
      <c r="BM114" s="97"/>
    </row>
    <row r="115" spans="1:65" ht="30" x14ac:dyDescent="0.25">
      <c r="A115" s="38"/>
      <c r="B115" s="34" t="s">
        <v>298</v>
      </c>
      <c r="C115" s="35" t="s">
        <v>299</v>
      </c>
      <c r="D115" s="34" t="s">
        <v>298</v>
      </c>
      <c r="E115" s="35" t="s">
        <v>299</v>
      </c>
      <c r="F115" s="34" t="s">
        <v>298</v>
      </c>
      <c r="G115" s="35" t="s">
        <v>299</v>
      </c>
      <c r="H115" s="34" t="s">
        <v>298</v>
      </c>
      <c r="I115" s="35" t="s">
        <v>299</v>
      </c>
      <c r="J115" s="34" t="s">
        <v>298</v>
      </c>
      <c r="K115" s="35" t="s">
        <v>299</v>
      </c>
      <c r="L115" s="34" t="s">
        <v>298</v>
      </c>
      <c r="M115" s="35" t="s">
        <v>299</v>
      </c>
      <c r="N115" s="34" t="s">
        <v>298</v>
      </c>
      <c r="O115" s="35" t="s">
        <v>299</v>
      </c>
      <c r="P115" s="34" t="s">
        <v>298</v>
      </c>
      <c r="Q115" s="35" t="s">
        <v>299</v>
      </c>
      <c r="R115" s="34" t="s">
        <v>298</v>
      </c>
      <c r="S115" s="35" t="s">
        <v>299</v>
      </c>
      <c r="T115" s="34" t="s">
        <v>298</v>
      </c>
      <c r="U115" s="35" t="s">
        <v>299</v>
      </c>
      <c r="V115" s="34" t="s">
        <v>298</v>
      </c>
      <c r="W115" s="35" t="s">
        <v>299</v>
      </c>
      <c r="X115" s="34" t="s">
        <v>298</v>
      </c>
      <c r="Y115" s="35" t="s">
        <v>299</v>
      </c>
      <c r="Z115" s="34" t="s">
        <v>298</v>
      </c>
      <c r="AA115" s="35" t="s">
        <v>299</v>
      </c>
      <c r="AB115" s="34" t="s">
        <v>298</v>
      </c>
      <c r="AC115" s="35" t="s">
        <v>299</v>
      </c>
      <c r="AD115" s="34" t="s">
        <v>298</v>
      </c>
      <c r="AE115" s="35" t="s">
        <v>299</v>
      </c>
      <c r="AF115" s="34" t="s">
        <v>298</v>
      </c>
      <c r="AG115" s="35" t="s">
        <v>299</v>
      </c>
      <c r="AH115" s="34" t="s">
        <v>298</v>
      </c>
      <c r="AI115" s="35" t="s">
        <v>299</v>
      </c>
      <c r="AJ115" s="34" t="s">
        <v>298</v>
      </c>
      <c r="AK115" s="35" t="s">
        <v>299</v>
      </c>
      <c r="AL115" s="34" t="s">
        <v>298</v>
      </c>
      <c r="AM115" s="35" t="s">
        <v>299</v>
      </c>
      <c r="AN115" s="34" t="s">
        <v>298</v>
      </c>
      <c r="AO115" s="35" t="s">
        <v>299</v>
      </c>
      <c r="AP115" s="34" t="s">
        <v>298</v>
      </c>
      <c r="AQ115" s="35" t="s">
        <v>299</v>
      </c>
      <c r="AR115" s="34" t="s">
        <v>298</v>
      </c>
      <c r="AS115" s="35" t="s">
        <v>299</v>
      </c>
      <c r="AT115" s="34" t="s">
        <v>298</v>
      </c>
      <c r="AU115" s="35" t="s">
        <v>299</v>
      </c>
      <c r="AV115" s="34" t="s">
        <v>298</v>
      </c>
      <c r="AW115" s="35" t="s">
        <v>299</v>
      </c>
      <c r="AX115" s="34" t="s">
        <v>298</v>
      </c>
      <c r="AY115" s="35" t="s">
        <v>299</v>
      </c>
      <c r="AZ115" s="34" t="s">
        <v>298</v>
      </c>
      <c r="BA115" s="35" t="s">
        <v>299</v>
      </c>
      <c r="BB115" s="34" t="s">
        <v>298</v>
      </c>
      <c r="BC115" s="35" t="s">
        <v>299</v>
      </c>
      <c r="BD115" s="34" t="s">
        <v>298</v>
      </c>
      <c r="BE115" s="35" t="s">
        <v>299</v>
      </c>
      <c r="BF115" s="34" t="s">
        <v>298</v>
      </c>
      <c r="BG115" s="35" t="s">
        <v>299</v>
      </c>
      <c r="BH115" s="34" t="s">
        <v>298</v>
      </c>
      <c r="BI115" s="35" t="s">
        <v>299</v>
      </c>
      <c r="BJ115" s="34" t="s">
        <v>298</v>
      </c>
      <c r="BK115" s="35" t="s">
        <v>299</v>
      </c>
      <c r="BL115" s="34" t="s">
        <v>298</v>
      </c>
      <c r="BM115" s="35" t="s">
        <v>299</v>
      </c>
    </row>
    <row r="116" spans="1:65" x14ac:dyDescent="0.25">
      <c r="A116" s="36" t="s">
        <v>278</v>
      </c>
      <c r="B116" s="24">
        <v>21770</v>
      </c>
      <c r="C116" s="24">
        <v>36309</v>
      </c>
      <c r="D116" s="24">
        <v>29851</v>
      </c>
      <c r="E116" s="24">
        <v>56362</v>
      </c>
      <c r="F116" s="24">
        <v>184651</v>
      </c>
      <c r="G116" s="24">
        <v>347574</v>
      </c>
      <c r="H116" s="24">
        <v>157974</v>
      </c>
      <c r="I116" s="24">
        <v>331122</v>
      </c>
      <c r="J116" s="24">
        <v>50511</v>
      </c>
      <c r="K116" s="24">
        <v>101368</v>
      </c>
      <c r="L116" s="24">
        <v>67640</v>
      </c>
      <c r="M116" s="24">
        <v>117275</v>
      </c>
      <c r="N116" s="24">
        <v>44614</v>
      </c>
      <c r="O116" s="24">
        <v>33553</v>
      </c>
      <c r="P116" s="24">
        <v>21138.94</v>
      </c>
      <c r="Q116" s="24">
        <v>31532.16</v>
      </c>
      <c r="R116" s="24">
        <v>5197.83</v>
      </c>
      <c r="S116" s="24">
        <v>10846.31</v>
      </c>
      <c r="T116" s="24">
        <v>58655.13</v>
      </c>
      <c r="U116" s="24">
        <v>117419.62</v>
      </c>
      <c r="V116" s="24">
        <v>202941</v>
      </c>
      <c r="W116" s="24">
        <v>393797</v>
      </c>
      <c r="X116" s="24">
        <v>256810</v>
      </c>
      <c r="Y116" s="24">
        <v>495704</v>
      </c>
      <c r="Z116" s="24">
        <v>148814</v>
      </c>
      <c r="AA116" s="24">
        <v>292117</v>
      </c>
      <c r="AB116" s="24">
        <v>11989</v>
      </c>
      <c r="AC116" s="24">
        <v>21136</v>
      </c>
      <c r="AD116" s="24">
        <v>21675</v>
      </c>
      <c r="AE116" s="24">
        <v>39366</v>
      </c>
      <c r="AF116" s="24">
        <v>21213</v>
      </c>
      <c r="AG116" s="24">
        <v>36136</v>
      </c>
      <c r="AH116" s="24">
        <v>18301.23</v>
      </c>
      <c r="AI116" s="24">
        <v>33759.15</v>
      </c>
      <c r="AJ116" s="24">
        <v>330224.62</v>
      </c>
      <c r="AK116" s="24">
        <v>614385.71</v>
      </c>
      <c r="AL116" s="24">
        <v>1243</v>
      </c>
      <c r="AM116" s="24">
        <v>2482</v>
      </c>
      <c r="AN116" s="24">
        <v>42241</v>
      </c>
      <c r="AO116" s="24">
        <v>78044</v>
      </c>
      <c r="AP116" s="24">
        <v>6465</v>
      </c>
      <c r="AQ116" s="24">
        <v>11240</v>
      </c>
      <c r="AR116" s="24">
        <v>126371</v>
      </c>
      <c r="AS116" s="24">
        <v>258906</v>
      </c>
      <c r="AT116" s="24">
        <v>47280</v>
      </c>
      <c r="AU116" s="24">
        <v>88737</v>
      </c>
      <c r="AV116" s="24">
        <v>141157</v>
      </c>
      <c r="AW116" s="24">
        <v>261703</v>
      </c>
      <c r="AX116" s="24">
        <v>32948</v>
      </c>
      <c r="AY116" s="24">
        <v>54723</v>
      </c>
      <c r="AZ116" s="24">
        <v>206564</v>
      </c>
      <c r="BA116" s="24">
        <v>390627</v>
      </c>
      <c r="BB116" s="24">
        <v>130538</v>
      </c>
      <c r="BC116" s="24">
        <v>233176</v>
      </c>
      <c r="BD116" s="24"/>
      <c r="BE116" s="24">
        <v>1321576</v>
      </c>
      <c r="BF116" s="24">
        <v>333759</v>
      </c>
      <c r="BG116" s="24">
        <v>596396</v>
      </c>
      <c r="BH116" s="24">
        <v>362704</v>
      </c>
      <c r="BI116" s="24">
        <v>683250</v>
      </c>
      <c r="BJ116" s="24">
        <v>63624</v>
      </c>
      <c r="BK116" s="24">
        <v>138054</v>
      </c>
      <c r="BL116" s="37">
        <f t="shared" ref="BL116:BM122" si="14">SUM(B116+D116+F116+H116+J116+L116+N116+P116+R116+T116+V116+X116+Z116+AB116+AD116+AF116+AH116+AJ116+AL116+AN116+AP116+AR116+AT116+AV116+AX116+AZ116+BB116+BD116+BF116+BH116+BJ116)</f>
        <v>3148864.75</v>
      </c>
      <c r="BM116" s="37">
        <f t="shared" si="14"/>
        <v>7228675.9499999993</v>
      </c>
    </row>
    <row r="117" spans="1:65" x14ac:dyDescent="0.25">
      <c r="A117" s="36" t="s">
        <v>279</v>
      </c>
      <c r="B117" s="24"/>
      <c r="C117" s="24"/>
      <c r="D117" s="24"/>
      <c r="E117" s="24"/>
      <c r="F117" s="24">
        <v>32</v>
      </c>
      <c r="G117" s="24">
        <v>32</v>
      </c>
      <c r="H117" s="24">
        <v>898</v>
      </c>
      <c r="I117" s="24">
        <v>957</v>
      </c>
      <c r="J117" s="24">
        <v>2550</v>
      </c>
      <c r="K117" s="24">
        <v>4439</v>
      </c>
      <c r="L117" s="24"/>
      <c r="M117" s="24">
        <v>1</v>
      </c>
      <c r="N117" s="24">
        <v>6304</v>
      </c>
      <c r="O117" s="24">
        <v>50210</v>
      </c>
      <c r="P117" s="24"/>
      <c r="Q117" s="24"/>
      <c r="R117" s="24">
        <v>204.64</v>
      </c>
      <c r="S117" s="24">
        <v>212.39</v>
      </c>
      <c r="T117" s="24">
        <v>496.56</v>
      </c>
      <c r="U117" s="24">
        <v>626.65</v>
      </c>
      <c r="V117" s="24">
        <v>1115</v>
      </c>
      <c r="W117" s="24">
        <v>3136</v>
      </c>
      <c r="X117" s="24">
        <v>1192</v>
      </c>
      <c r="Y117" s="24">
        <v>3931</v>
      </c>
      <c r="Z117" s="24">
        <v>3769</v>
      </c>
      <c r="AA117" s="24">
        <v>2616</v>
      </c>
      <c r="AB117" s="24">
        <v>57</v>
      </c>
      <c r="AC117" s="24">
        <v>60</v>
      </c>
      <c r="AD117" s="24">
        <v>0</v>
      </c>
      <c r="AE117" s="24">
        <v>0</v>
      </c>
      <c r="AF117" s="24">
        <v>472</v>
      </c>
      <c r="AG117" s="24">
        <v>1073</v>
      </c>
      <c r="AH117" s="24"/>
      <c r="AI117" s="24"/>
      <c r="AJ117" s="24">
        <v>21725.46</v>
      </c>
      <c r="AK117" s="24">
        <v>27450.89</v>
      </c>
      <c r="AL117" s="24"/>
      <c r="AM117" s="24"/>
      <c r="AN117" s="24"/>
      <c r="AO117" s="24"/>
      <c r="AP117" s="24">
        <v>156</v>
      </c>
      <c r="AQ117" s="24">
        <v>190</v>
      </c>
      <c r="AR117" s="24">
        <v>158</v>
      </c>
      <c r="AS117" s="24">
        <v>684</v>
      </c>
      <c r="AT117" s="24">
        <v>493</v>
      </c>
      <c r="AU117" s="24">
        <v>1248</v>
      </c>
      <c r="AV117" s="24">
        <v>3621</v>
      </c>
      <c r="AW117" s="24">
        <v>3679</v>
      </c>
      <c r="AX117" s="24"/>
      <c r="AY117" s="24">
        <v>0</v>
      </c>
      <c r="AZ117" s="24"/>
      <c r="BA117" s="24"/>
      <c r="BB117" s="24">
        <v>10436</v>
      </c>
      <c r="BC117" s="24">
        <v>12338</v>
      </c>
      <c r="BD117" s="24"/>
      <c r="BE117" s="24">
        <v>7781</v>
      </c>
      <c r="BF117" s="24">
        <v>18387</v>
      </c>
      <c r="BG117" s="24">
        <v>32316</v>
      </c>
      <c r="BH117" s="24">
        <v>333</v>
      </c>
      <c r="BI117" s="24">
        <v>4141</v>
      </c>
      <c r="BJ117" s="24">
        <v>1847</v>
      </c>
      <c r="BK117" s="24">
        <v>1849</v>
      </c>
      <c r="BL117" s="37">
        <f t="shared" si="14"/>
        <v>74246.66</v>
      </c>
      <c r="BM117" s="37">
        <f t="shared" si="14"/>
        <v>158970.93</v>
      </c>
    </row>
    <row r="118" spans="1:65" x14ac:dyDescent="0.25">
      <c r="A118" s="36" t="s">
        <v>280</v>
      </c>
      <c r="B118" s="24">
        <v>12004</v>
      </c>
      <c r="C118" s="24">
        <v>19182</v>
      </c>
      <c r="D118" s="24">
        <v>5407</v>
      </c>
      <c r="E118" s="24">
        <v>10592</v>
      </c>
      <c r="F118" s="24">
        <v>118124</v>
      </c>
      <c r="G118" s="24">
        <v>218116</v>
      </c>
      <c r="H118" s="24">
        <v>-49071</v>
      </c>
      <c r="I118" s="24">
        <v>-115428</v>
      </c>
      <c r="J118" s="24">
        <v>12248</v>
      </c>
      <c r="K118" s="24">
        <v>26123</v>
      </c>
      <c r="L118" s="24">
        <v>17150</v>
      </c>
      <c r="M118" s="24">
        <v>30719</v>
      </c>
      <c r="N118" s="24">
        <v>11253</v>
      </c>
      <c r="O118" s="24">
        <v>17580</v>
      </c>
      <c r="P118" s="24">
        <v>11918.06</v>
      </c>
      <c r="Q118" s="24">
        <v>14032.35</v>
      </c>
      <c r="R118" s="24">
        <v>955.59</v>
      </c>
      <c r="S118" s="24">
        <v>1968.09</v>
      </c>
      <c r="T118" s="24">
        <v>19425.45</v>
      </c>
      <c r="U118" s="24">
        <v>43166.05</v>
      </c>
      <c r="V118" s="24">
        <v>-73355</v>
      </c>
      <c r="W118" s="24">
        <v>-202484</v>
      </c>
      <c r="X118" s="24">
        <v>40819</v>
      </c>
      <c r="Y118" s="24">
        <v>99233</v>
      </c>
      <c r="Z118" s="24">
        <v>45328</v>
      </c>
      <c r="AA118" s="24">
        <v>95282</v>
      </c>
      <c r="AB118" s="24">
        <v>3449</v>
      </c>
      <c r="AC118" s="24">
        <v>5699</v>
      </c>
      <c r="AD118" s="24">
        <v>1844</v>
      </c>
      <c r="AE118" s="24">
        <v>3122</v>
      </c>
      <c r="AF118" s="24">
        <v>-8122</v>
      </c>
      <c r="AG118" s="24">
        <v>-14840</v>
      </c>
      <c r="AH118" s="24">
        <v>874.02</v>
      </c>
      <c r="AI118" s="24">
        <v>1650.07</v>
      </c>
      <c r="AJ118" s="24">
        <v>33433.64</v>
      </c>
      <c r="AK118" s="24">
        <v>69102.34</v>
      </c>
      <c r="AL118" s="24">
        <v>-76</v>
      </c>
      <c r="AM118" s="24">
        <v>-166</v>
      </c>
      <c r="AN118" s="24">
        <v>8812</v>
      </c>
      <c r="AO118" s="24">
        <v>16500</v>
      </c>
      <c r="AP118" s="24">
        <v>1406</v>
      </c>
      <c r="AQ118" s="24">
        <v>1733</v>
      </c>
      <c r="AR118" s="24">
        <v>53060</v>
      </c>
      <c r="AS118" s="24">
        <v>115652</v>
      </c>
      <c r="AT118" s="24">
        <v>8810</v>
      </c>
      <c r="AU118" s="24">
        <v>17685</v>
      </c>
      <c r="AV118" s="24">
        <v>69572</v>
      </c>
      <c r="AW118" s="24">
        <v>136440</v>
      </c>
      <c r="AX118" s="24">
        <v>3016</v>
      </c>
      <c r="AY118" s="24">
        <v>4698</v>
      </c>
      <c r="AZ118" s="24">
        <v>9956</v>
      </c>
      <c r="BA118" s="24">
        <v>19202</v>
      </c>
      <c r="BB118" s="24">
        <v>36751</v>
      </c>
      <c r="BC118" s="24">
        <v>61650</v>
      </c>
      <c r="BD118" s="24"/>
      <c r="BE118" s="24">
        <v>150301</v>
      </c>
      <c r="BF118" s="24">
        <v>24878</v>
      </c>
      <c r="BG118" s="24">
        <v>46160</v>
      </c>
      <c r="BH118" s="24">
        <v>39426</v>
      </c>
      <c r="BI118" s="24">
        <v>90513</v>
      </c>
      <c r="BJ118" s="24">
        <v>23738</v>
      </c>
      <c r="BK118" s="24">
        <v>56535</v>
      </c>
      <c r="BL118" s="37">
        <f t="shared" si="14"/>
        <v>483033.76</v>
      </c>
      <c r="BM118" s="37">
        <f t="shared" si="14"/>
        <v>1039717.9</v>
      </c>
    </row>
    <row r="119" spans="1:65" s="4" customFormat="1" x14ac:dyDescent="0.25">
      <c r="A119" s="38" t="s">
        <v>281</v>
      </c>
      <c r="B119" s="26">
        <v>9766</v>
      </c>
      <c r="C119" s="26">
        <v>17127</v>
      </c>
      <c r="D119" s="26">
        <v>24444</v>
      </c>
      <c r="E119" s="26">
        <v>45770</v>
      </c>
      <c r="F119" s="26">
        <v>66559</v>
      </c>
      <c r="G119" s="26">
        <v>129490</v>
      </c>
      <c r="H119" s="26">
        <v>109802</v>
      </c>
      <c r="I119" s="26">
        <v>216651</v>
      </c>
      <c r="J119" s="26">
        <v>40813</v>
      </c>
      <c r="K119" s="26">
        <v>79684</v>
      </c>
      <c r="L119" s="26">
        <v>50490</v>
      </c>
      <c r="M119" s="26">
        <v>86556</v>
      </c>
      <c r="N119" s="26">
        <v>39665</v>
      </c>
      <c r="O119" s="26">
        <v>66183</v>
      </c>
      <c r="P119" s="26">
        <v>8267.86</v>
      </c>
      <c r="Q119" s="26">
        <v>14508.88</v>
      </c>
      <c r="R119" s="26">
        <v>4446.88</v>
      </c>
      <c r="S119" s="26">
        <v>9090.61</v>
      </c>
      <c r="T119" s="26">
        <v>39726.230000000003</v>
      </c>
      <c r="U119" s="26">
        <v>74880.22</v>
      </c>
      <c r="V119" s="26">
        <v>130701</v>
      </c>
      <c r="W119" s="26">
        <v>194450</v>
      </c>
      <c r="X119" s="26">
        <v>217183</v>
      </c>
      <c r="Y119" s="26">
        <v>400402</v>
      </c>
      <c r="Z119" s="26">
        <v>107255</v>
      </c>
      <c r="AA119" s="26">
        <v>199451</v>
      </c>
      <c r="AB119" s="26">
        <v>8597</v>
      </c>
      <c r="AC119" s="26">
        <v>15497</v>
      </c>
      <c r="AD119" s="26">
        <v>19831</v>
      </c>
      <c r="AE119" s="26">
        <v>36245</v>
      </c>
      <c r="AF119" s="26">
        <v>13564</v>
      </c>
      <c r="AG119" s="26">
        <v>22369</v>
      </c>
      <c r="AH119" s="26">
        <v>17427.21</v>
      </c>
      <c r="AI119" s="26">
        <v>32109.08</v>
      </c>
      <c r="AJ119" s="26">
        <v>318516.44</v>
      </c>
      <c r="AK119" s="26">
        <v>572734.26</v>
      </c>
      <c r="AL119" s="26">
        <v>1167</v>
      </c>
      <c r="AM119" s="26">
        <v>2316</v>
      </c>
      <c r="AN119" s="26">
        <v>33429</v>
      </c>
      <c r="AO119" s="26">
        <v>61544</v>
      </c>
      <c r="AP119" s="26">
        <v>5216</v>
      </c>
      <c r="AQ119" s="26">
        <v>9698</v>
      </c>
      <c r="AR119" s="26">
        <v>73468</v>
      </c>
      <c r="AS119" s="26">
        <v>143939</v>
      </c>
      <c r="AT119" s="26">
        <v>38963</v>
      </c>
      <c r="AU119" s="26">
        <v>72300</v>
      </c>
      <c r="AV119" s="26">
        <v>75207</v>
      </c>
      <c r="AW119" s="26">
        <v>128942</v>
      </c>
      <c r="AX119" s="26">
        <v>29932</v>
      </c>
      <c r="AY119" s="26">
        <v>50025</v>
      </c>
      <c r="AZ119" s="26">
        <v>196608</v>
      </c>
      <c r="BA119" s="26">
        <v>371425</v>
      </c>
      <c r="BB119" s="26">
        <v>104223</v>
      </c>
      <c r="BC119" s="26">
        <v>183864</v>
      </c>
      <c r="BD119" s="26"/>
      <c r="BE119" s="26">
        <v>1179056</v>
      </c>
      <c r="BF119" s="26">
        <v>327268</v>
      </c>
      <c r="BG119" s="26">
        <v>582552</v>
      </c>
      <c r="BH119" s="26">
        <v>323611</v>
      </c>
      <c r="BI119" s="26">
        <v>596877</v>
      </c>
      <c r="BJ119" s="26">
        <v>41733</v>
      </c>
      <c r="BK119" s="26">
        <v>83368</v>
      </c>
      <c r="BL119" s="39">
        <f t="shared" si="14"/>
        <v>2477879.62</v>
      </c>
      <c r="BM119" s="39">
        <f t="shared" si="14"/>
        <v>5679104.0499999998</v>
      </c>
    </row>
    <row r="120" spans="1:65" x14ac:dyDescent="0.25">
      <c r="A120" s="36" t="s">
        <v>282</v>
      </c>
      <c r="B120" s="24">
        <v>35095</v>
      </c>
      <c r="C120" s="24">
        <v>35095</v>
      </c>
      <c r="D120" s="24">
        <v>20196</v>
      </c>
      <c r="E120" s="24">
        <v>20196</v>
      </c>
      <c r="F120" s="24">
        <v>258378</v>
      </c>
      <c r="G120" s="24">
        <v>1056917</v>
      </c>
      <c r="H120" s="24">
        <v>1181345</v>
      </c>
      <c r="I120" s="24">
        <v>1181345</v>
      </c>
      <c r="J120" s="24">
        <v>70180</v>
      </c>
      <c r="K120" s="24">
        <v>70180</v>
      </c>
      <c r="L120" s="24">
        <v>751359</v>
      </c>
      <c r="M120" s="24">
        <v>751359</v>
      </c>
      <c r="N120" s="24">
        <v>496483</v>
      </c>
      <c r="O120" s="24">
        <v>496483</v>
      </c>
      <c r="P120" s="24">
        <v>-34245.21</v>
      </c>
      <c r="Q120" s="24">
        <v>654055.1</v>
      </c>
      <c r="R120" s="24">
        <v>18946.97</v>
      </c>
      <c r="S120" s="24">
        <v>18946.97</v>
      </c>
      <c r="T120" s="24">
        <v>288229.84000000003</v>
      </c>
      <c r="U120" s="24">
        <v>288229.84000000003</v>
      </c>
      <c r="V120" s="24">
        <v>804313</v>
      </c>
      <c r="W120" s="24">
        <v>804313</v>
      </c>
      <c r="X120" s="24">
        <v>1955126</v>
      </c>
      <c r="Y120" s="24">
        <v>1955126</v>
      </c>
      <c r="Z120" s="24">
        <v>24293</v>
      </c>
      <c r="AA120" s="24">
        <v>794863</v>
      </c>
      <c r="AB120" s="24">
        <v>55033</v>
      </c>
      <c r="AC120" s="24">
        <v>55033</v>
      </c>
      <c r="AD120" s="24">
        <v>146196</v>
      </c>
      <c r="AE120" s="24">
        <v>146196</v>
      </c>
      <c r="AF120" s="24">
        <v>224488</v>
      </c>
      <c r="AG120" s="24">
        <v>224488</v>
      </c>
      <c r="AH120" s="24">
        <v>11582.47</v>
      </c>
      <c r="AI120" s="24">
        <v>11582.46</v>
      </c>
      <c r="AJ120" s="24">
        <v>-2576.75</v>
      </c>
      <c r="AK120" s="24">
        <v>2042693.46</v>
      </c>
      <c r="AL120" s="24">
        <v>14389</v>
      </c>
      <c r="AM120" s="24">
        <v>14389</v>
      </c>
      <c r="AN120" s="24">
        <v>30806</v>
      </c>
      <c r="AO120" s="24">
        <v>30806</v>
      </c>
      <c r="AP120" s="24">
        <v>42885</v>
      </c>
      <c r="AQ120" s="24">
        <v>42885</v>
      </c>
      <c r="AR120" s="24">
        <v>866762</v>
      </c>
      <c r="AS120" s="24">
        <v>866762</v>
      </c>
      <c r="AT120" s="24">
        <v>467522</v>
      </c>
      <c r="AU120" s="24">
        <v>467522</v>
      </c>
      <c r="AV120" s="24">
        <v>469231</v>
      </c>
      <c r="AW120" s="24">
        <v>469231</v>
      </c>
      <c r="AX120" s="24">
        <v>2853</v>
      </c>
      <c r="AY120" s="24">
        <v>768895</v>
      </c>
      <c r="AZ120" s="24">
        <v>-6004</v>
      </c>
      <c r="BA120" s="24">
        <v>91295</v>
      </c>
      <c r="BB120" s="24">
        <v>984791</v>
      </c>
      <c r="BC120" s="24">
        <v>984791</v>
      </c>
      <c r="BD120" s="24"/>
      <c r="BE120" s="24">
        <v>2822904</v>
      </c>
      <c r="BF120" s="24">
        <v>105235</v>
      </c>
      <c r="BG120" s="24">
        <v>1833941</v>
      </c>
      <c r="BH120" s="24"/>
      <c r="BI120" s="24"/>
      <c r="BJ120" s="24">
        <v>-1934</v>
      </c>
      <c r="BK120" s="24">
        <v>165823</v>
      </c>
      <c r="BL120" s="37">
        <f t="shared" si="14"/>
        <v>9280958.3200000003</v>
      </c>
      <c r="BM120" s="37">
        <f t="shared" si="14"/>
        <v>19166345.830000002</v>
      </c>
    </row>
    <row r="121" spans="1:65" ht="15" customHeight="1" x14ac:dyDescent="0.25">
      <c r="A121" s="36" t="s">
        <v>283</v>
      </c>
      <c r="B121" s="24">
        <v>24250</v>
      </c>
      <c r="C121" s="24">
        <v>20469</v>
      </c>
      <c r="D121" s="24">
        <v>16914</v>
      </c>
      <c r="E121" s="24">
        <v>14729</v>
      </c>
      <c r="F121" s="24">
        <v>0</v>
      </c>
      <c r="G121" s="24">
        <v>788439</v>
      </c>
      <c r="H121" s="24">
        <v>1133393</v>
      </c>
      <c r="I121" s="24">
        <v>1095920</v>
      </c>
      <c r="J121" s="24">
        <v>58575</v>
      </c>
      <c r="K121" s="24">
        <v>53631</v>
      </c>
      <c r="L121" s="24">
        <v>730765</v>
      </c>
      <c r="M121" s="24">
        <v>700460</v>
      </c>
      <c r="N121" s="24">
        <v>446950</v>
      </c>
      <c r="O121" s="24">
        <v>388591</v>
      </c>
      <c r="P121" s="24"/>
      <c r="Q121" s="24">
        <v>699296.58</v>
      </c>
      <c r="R121" s="24">
        <v>17163.599999999999</v>
      </c>
      <c r="S121" s="24">
        <v>15418.9</v>
      </c>
      <c r="T121" s="24">
        <v>280163.43</v>
      </c>
      <c r="U121" s="24">
        <v>276543.81</v>
      </c>
      <c r="V121" s="24">
        <v>-768989</v>
      </c>
      <c r="W121" s="24">
        <v>-698274</v>
      </c>
      <c r="X121" s="24">
        <v>1892976</v>
      </c>
      <c r="Y121" s="24">
        <v>1826208</v>
      </c>
      <c r="Z121" s="24"/>
      <c r="AA121" s="24">
        <v>727766</v>
      </c>
      <c r="AB121" s="24">
        <v>51619</v>
      </c>
      <c r="AC121" s="24">
        <v>48347</v>
      </c>
      <c r="AD121" s="24">
        <v>139180</v>
      </c>
      <c r="AE121" s="24">
        <v>131437</v>
      </c>
      <c r="AF121" s="24">
        <v>-213015</v>
      </c>
      <c r="AG121" s="24">
        <v>-200655</v>
      </c>
      <c r="AH121" s="24">
        <v>10777.05</v>
      </c>
      <c r="AI121" s="24">
        <v>10625.5</v>
      </c>
      <c r="AJ121" s="24">
        <v>0</v>
      </c>
      <c r="AK121" s="24">
        <v>2024056.99</v>
      </c>
      <c r="AL121" s="24">
        <v>-13610</v>
      </c>
      <c r="AM121" s="24">
        <v>-12805</v>
      </c>
      <c r="AN121" s="24">
        <v>28164</v>
      </c>
      <c r="AO121" s="24">
        <v>26861</v>
      </c>
      <c r="AP121" s="24">
        <v>41271</v>
      </c>
      <c r="AQ121" s="24">
        <v>38659</v>
      </c>
      <c r="AR121" s="24">
        <v>811463</v>
      </c>
      <c r="AS121" s="24">
        <v>782371</v>
      </c>
      <c r="AT121" s="24">
        <v>457657</v>
      </c>
      <c r="AU121" s="24">
        <v>443394</v>
      </c>
      <c r="AV121" s="24">
        <v>443533</v>
      </c>
      <c r="AW121" s="24">
        <v>428253</v>
      </c>
      <c r="AX121" s="24">
        <v>0</v>
      </c>
      <c r="AY121" s="24">
        <v>754495</v>
      </c>
      <c r="AZ121" s="24"/>
      <c r="BA121" s="24">
        <v>94006</v>
      </c>
      <c r="BB121" s="24">
        <v>928288</v>
      </c>
      <c r="BC121" s="24">
        <v>863153</v>
      </c>
      <c r="BD121" s="24"/>
      <c r="BE121" s="24">
        <v>2707972</v>
      </c>
      <c r="BF121" s="24">
        <v>0</v>
      </c>
      <c r="BG121" s="24">
        <v>1657562</v>
      </c>
      <c r="BH121" s="24"/>
      <c r="BI121" s="24"/>
      <c r="BJ121" s="24"/>
      <c r="BK121" s="24">
        <v>180334</v>
      </c>
      <c r="BL121" s="37">
        <f t="shared" si="14"/>
        <v>6517488.0800000001</v>
      </c>
      <c r="BM121" s="37">
        <f t="shared" si="14"/>
        <v>15887264.780000001</v>
      </c>
    </row>
    <row r="122" spans="1:65" s="4" customFormat="1" x14ac:dyDescent="0.25">
      <c r="A122" s="38" t="s">
        <v>284</v>
      </c>
      <c r="B122" s="26">
        <v>20611</v>
      </c>
      <c r="C122" s="26">
        <v>31753</v>
      </c>
      <c r="D122" s="26">
        <v>27726</v>
      </c>
      <c r="E122" s="26">
        <v>51237</v>
      </c>
      <c r="F122" s="26">
        <v>324936</v>
      </c>
      <c r="G122" s="26">
        <v>397968</v>
      </c>
      <c r="H122" s="26">
        <v>157753</v>
      </c>
      <c r="I122" s="26">
        <v>302076</v>
      </c>
      <c r="J122" s="26">
        <v>52418</v>
      </c>
      <c r="K122" s="26">
        <v>96233</v>
      </c>
      <c r="L122" s="26">
        <v>71084</v>
      </c>
      <c r="M122" s="26">
        <v>137455</v>
      </c>
      <c r="N122" s="26">
        <v>89198</v>
      </c>
      <c r="O122" s="26">
        <v>174075</v>
      </c>
      <c r="P122" s="26">
        <v>-25977.35</v>
      </c>
      <c r="Q122" s="26">
        <v>-30732.6</v>
      </c>
      <c r="R122" s="26">
        <v>6230.25</v>
      </c>
      <c r="S122" s="26">
        <v>12618.68</v>
      </c>
      <c r="T122" s="26">
        <v>47792.639999999999</v>
      </c>
      <c r="U122" s="26">
        <v>86566.25</v>
      </c>
      <c r="V122" s="26">
        <v>166026</v>
      </c>
      <c r="W122" s="26">
        <v>300489</v>
      </c>
      <c r="X122" s="26">
        <v>279333</v>
      </c>
      <c r="Y122" s="26">
        <v>529320</v>
      </c>
      <c r="Z122" s="26">
        <v>131548</v>
      </c>
      <c r="AA122" s="26">
        <v>266548</v>
      </c>
      <c r="AB122" s="26">
        <v>12010</v>
      </c>
      <c r="AC122" s="26">
        <v>22182</v>
      </c>
      <c r="AD122" s="26">
        <v>26846</v>
      </c>
      <c r="AE122" s="26">
        <v>51003</v>
      </c>
      <c r="AF122" s="26">
        <v>25037</v>
      </c>
      <c r="AG122" s="26">
        <v>46201</v>
      </c>
      <c r="AH122" s="26">
        <v>18232.63</v>
      </c>
      <c r="AI122" s="26">
        <v>33066.04</v>
      </c>
      <c r="AJ122" s="26">
        <v>315939.69</v>
      </c>
      <c r="AK122" s="26">
        <v>591370.72</v>
      </c>
      <c r="AL122" s="26">
        <v>1946</v>
      </c>
      <c r="AM122" s="26">
        <v>3900</v>
      </c>
      <c r="AN122" s="26">
        <v>36070</v>
      </c>
      <c r="AO122" s="26">
        <v>65488</v>
      </c>
      <c r="AP122" s="26">
        <v>6830</v>
      </c>
      <c r="AQ122" s="26">
        <v>13925</v>
      </c>
      <c r="AR122" s="26">
        <v>128767</v>
      </c>
      <c r="AS122" s="26">
        <v>228329</v>
      </c>
      <c r="AT122" s="26">
        <v>48828</v>
      </c>
      <c r="AU122" s="26">
        <v>96428</v>
      </c>
      <c r="AV122" s="26">
        <v>100905</v>
      </c>
      <c r="AW122" s="26">
        <v>169920</v>
      </c>
      <c r="AX122" s="26">
        <v>32785</v>
      </c>
      <c r="AY122" s="26">
        <v>64424</v>
      </c>
      <c r="AZ122" s="26">
        <v>190603</v>
      </c>
      <c r="BA122" s="26">
        <v>368715</v>
      </c>
      <c r="BB122" s="26">
        <v>160726</v>
      </c>
      <c r="BC122" s="26">
        <v>305502</v>
      </c>
      <c r="BD122" s="26"/>
      <c r="BE122" s="26">
        <v>1293988</v>
      </c>
      <c r="BF122" s="26">
        <v>432503</v>
      </c>
      <c r="BG122" s="26">
        <v>758931</v>
      </c>
      <c r="BH122" s="26">
        <v>370756</v>
      </c>
      <c r="BI122" s="26">
        <v>700858</v>
      </c>
      <c r="BJ122" s="26">
        <v>39798</v>
      </c>
      <c r="BK122" s="26">
        <v>68857</v>
      </c>
      <c r="BL122" s="39">
        <f t="shared" si="14"/>
        <v>3297260.86</v>
      </c>
      <c r="BM122" s="39">
        <f t="shared" si="14"/>
        <v>7238694.0899999999</v>
      </c>
    </row>
  </sheetData>
  <mergeCells count="352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26:C26"/>
    <mergeCell ref="D26:E26"/>
    <mergeCell ref="F26:G26"/>
    <mergeCell ref="H26:I26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37:BG37"/>
    <mergeCell ref="BH37:BI37"/>
    <mergeCell ref="Z37:AA37"/>
    <mergeCell ref="BJ26:BK26"/>
    <mergeCell ref="BL26:BM26"/>
    <mergeCell ref="AR26:AS26"/>
    <mergeCell ref="AT26:AU26"/>
    <mergeCell ref="AV26:AW26"/>
    <mergeCell ref="AX26:AY26"/>
    <mergeCell ref="AZ26:BA26"/>
    <mergeCell ref="BB26:BC26"/>
    <mergeCell ref="Z26:AA26"/>
    <mergeCell ref="AB26:AC26"/>
    <mergeCell ref="AD26:AE26"/>
    <mergeCell ref="BD26:BE26"/>
    <mergeCell ref="BF26:BG26"/>
    <mergeCell ref="BH26:BI26"/>
    <mergeCell ref="AF26:AG26"/>
    <mergeCell ref="AH26:AI26"/>
    <mergeCell ref="AJ26:AK26"/>
    <mergeCell ref="AL26:AM26"/>
    <mergeCell ref="AN26:AO26"/>
    <mergeCell ref="AP26:AQ26"/>
    <mergeCell ref="AL37:AM37"/>
    <mergeCell ref="AN37:AO37"/>
    <mergeCell ref="AP37:AQ37"/>
    <mergeCell ref="AR37:AS37"/>
    <mergeCell ref="V37:W37"/>
    <mergeCell ref="X37:Y37"/>
    <mergeCell ref="J26:K26"/>
    <mergeCell ref="L26:M26"/>
    <mergeCell ref="N26:O26"/>
    <mergeCell ref="AB37:AC37"/>
    <mergeCell ref="L37:M37"/>
    <mergeCell ref="N37:O37"/>
    <mergeCell ref="P37:Q37"/>
    <mergeCell ref="R37:S37"/>
    <mergeCell ref="T37:U37"/>
    <mergeCell ref="P26:Q26"/>
    <mergeCell ref="R26:S26"/>
    <mergeCell ref="T26:U26"/>
    <mergeCell ref="V26:W26"/>
    <mergeCell ref="X26:Y26"/>
    <mergeCell ref="BL48:BM48"/>
    <mergeCell ref="AD37:AE37"/>
    <mergeCell ref="AF37:AG37"/>
    <mergeCell ref="AT48:AU48"/>
    <mergeCell ref="AV48:AW48"/>
    <mergeCell ref="AX48:AY48"/>
    <mergeCell ref="AZ48:BA48"/>
    <mergeCell ref="BB48:BC48"/>
    <mergeCell ref="B37:C37"/>
    <mergeCell ref="D37:E37"/>
    <mergeCell ref="F37:G37"/>
    <mergeCell ref="H37:I37"/>
    <mergeCell ref="J37:K37"/>
    <mergeCell ref="BL37:BM37"/>
    <mergeCell ref="B48:C48"/>
    <mergeCell ref="D48:E48"/>
    <mergeCell ref="F48:G48"/>
    <mergeCell ref="H48:I48"/>
    <mergeCell ref="AT37:AU37"/>
    <mergeCell ref="AV37:AW37"/>
    <mergeCell ref="AX37:AY37"/>
    <mergeCell ref="AZ37:BA37"/>
    <mergeCell ref="BB37:BC37"/>
    <mergeCell ref="BD37:BE37"/>
    <mergeCell ref="BJ37:BK37"/>
    <mergeCell ref="B59:C59"/>
    <mergeCell ref="D59:E59"/>
    <mergeCell ref="F59:G59"/>
    <mergeCell ref="H59:I59"/>
    <mergeCell ref="J59:K59"/>
    <mergeCell ref="BD48:BE48"/>
    <mergeCell ref="BF48:BG48"/>
    <mergeCell ref="BH48:BI48"/>
    <mergeCell ref="AF48:AG48"/>
    <mergeCell ref="AH48:AI48"/>
    <mergeCell ref="AJ48:AK48"/>
    <mergeCell ref="AL48:AM48"/>
    <mergeCell ref="AN48:AO48"/>
    <mergeCell ref="AP48:AQ48"/>
    <mergeCell ref="V48:W48"/>
    <mergeCell ref="X48:Y48"/>
    <mergeCell ref="Z48:AA48"/>
    <mergeCell ref="AB48:AC48"/>
    <mergeCell ref="AD48:AE48"/>
    <mergeCell ref="J48:K48"/>
    <mergeCell ref="BJ48:BK48"/>
    <mergeCell ref="AH37:AI37"/>
    <mergeCell ref="AJ37:AK37"/>
    <mergeCell ref="AT59:AU59"/>
    <mergeCell ref="V59:W59"/>
    <mergeCell ref="X59:Y59"/>
    <mergeCell ref="Z59:AA59"/>
    <mergeCell ref="AD59:AE59"/>
    <mergeCell ref="AF59:AG59"/>
    <mergeCell ref="L59:M59"/>
    <mergeCell ref="N59:O59"/>
    <mergeCell ref="P59:Q59"/>
    <mergeCell ref="R59:S59"/>
    <mergeCell ref="AR59:AS59"/>
    <mergeCell ref="L48:M48"/>
    <mergeCell ref="N48:O48"/>
    <mergeCell ref="AB59:AC59"/>
    <mergeCell ref="AR48:AS48"/>
    <mergeCell ref="B70:C70"/>
    <mergeCell ref="D70:E70"/>
    <mergeCell ref="F70:G70"/>
    <mergeCell ref="H70:I70"/>
    <mergeCell ref="P48:Q48"/>
    <mergeCell ref="R48:S48"/>
    <mergeCell ref="T48:U48"/>
    <mergeCell ref="AV70:AW70"/>
    <mergeCell ref="AX70:AY70"/>
    <mergeCell ref="AZ70:BA70"/>
    <mergeCell ref="BB70:BC70"/>
    <mergeCell ref="P70:Q70"/>
    <mergeCell ref="R70:S70"/>
    <mergeCell ref="T70:U70"/>
    <mergeCell ref="BJ59:BK59"/>
    <mergeCell ref="BL59:BM59"/>
    <mergeCell ref="BD59:BE59"/>
    <mergeCell ref="BJ70:BK70"/>
    <mergeCell ref="BL70:BM70"/>
    <mergeCell ref="T59:U59"/>
    <mergeCell ref="BF59:BG59"/>
    <mergeCell ref="BH59:BI59"/>
    <mergeCell ref="AV59:AW59"/>
    <mergeCell ref="AX59:AY59"/>
    <mergeCell ref="AZ59:BA59"/>
    <mergeCell ref="BB59:BC59"/>
    <mergeCell ref="AH59:AI59"/>
    <mergeCell ref="AJ59:AK59"/>
    <mergeCell ref="AL59:AM59"/>
    <mergeCell ref="AN59:AO59"/>
    <mergeCell ref="AP59:AQ59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BD15:BE15"/>
    <mergeCell ref="BF15:BG15"/>
    <mergeCell ref="BH15:BI15"/>
    <mergeCell ref="BJ15:BK15"/>
    <mergeCell ref="BL15:BM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1" style="3" bestFit="1" customWidth="1"/>
    <col min="2" max="31" width="16" style="3" customWidth="1"/>
    <col min="32" max="32" width="16" style="4" customWidth="1"/>
    <col min="33" max="65" width="16" style="3" customWidth="1"/>
    <col min="66" max="16384" width="9.140625" style="3"/>
  </cols>
  <sheetData>
    <row r="1" spans="1:65" ht="18.75" x14ac:dyDescent="0.3">
      <c r="A1" s="5" t="s">
        <v>181</v>
      </c>
    </row>
    <row r="2" spans="1:65" x14ac:dyDescent="0.25">
      <c r="A2" s="3" t="s">
        <v>98</v>
      </c>
    </row>
    <row r="3" spans="1:65" x14ac:dyDescent="0.25">
      <c r="A3" s="7" t="s">
        <v>182</v>
      </c>
    </row>
    <row r="4" spans="1:65" x14ac:dyDescent="0.25">
      <c r="A4" s="38" t="s">
        <v>0</v>
      </c>
      <c r="B4" s="94" t="s">
        <v>1</v>
      </c>
      <c r="C4" s="95"/>
      <c r="D4" s="94" t="s">
        <v>232</v>
      </c>
      <c r="E4" s="95"/>
      <c r="F4" s="94" t="s">
        <v>2</v>
      </c>
      <c r="G4" s="95"/>
      <c r="H4" s="94" t="s">
        <v>3</v>
      </c>
      <c r="I4" s="95"/>
      <c r="J4" s="94" t="s">
        <v>241</v>
      </c>
      <c r="K4" s="95"/>
      <c r="L4" s="94" t="s">
        <v>233</v>
      </c>
      <c r="M4" s="95"/>
      <c r="N4" s="94" t="s">
        <v>246</v>
      </c>
      <c r="O4" s="95"/>
      <c r="P4" s="94" t="s">
        <v>5</v>
      </c>
      <c r="Q4" s="95"/>
      <c r="R4" s="94" t="s">
        <v>4</v>
      </c>
      <c r="S4" s="95"/>
      <c r="T4" s="94" t="s">
        <v>6</v>
      </c>
      <c r="U4" s="95"/>
      <c r="V4" s="94" t="s">
        <v>7</v>
      </c>
      <c r="W4" s="95"/>
      <c r="X4" s="94" t="s">
        <v>8</v>
      </c>
      <c r="Y4" s="95"/>
      <c r="Z4" s="94" t="s">
        <v>9</v>
      </c>
      <c r="AA4" s="95"/>
      <c r="AB4" s="94" t="s">
        <v>240</v>
      </c>
      <c r="AC4" s="95"/>
      <c r="AD4" s="94" t="s">
        <v>10</v>
      </c>
      <c r="AE4" s="95"/>
      <c r="AF4" s="94" t="s">
        <v>11</v>
      </c>
      <c r="AG4" s="95"/>
      <c r="AH4" s="94" t="s">
        <v>234</v>
      </c>
      <c r="AI4" s="95"/>
      <c r="AJ4" s="94" t="s">
        <v>12</v>
      </c>
      <c r="AK4" s="95"/>
      <c r="AL4" s="94" t="s">
        <v>235</v>
      </c>
      <c r="AM4" s="95"/>
      <c r="AN4" s="94" t="s">
        <v>300</v>
      </c>
      <c r="AO4" s="95"/>
      <c r="AP4" s="94" t="s">
        <v>236</v>
      </c>
      <c r="AQ4" s="95"/>
      <c r="AR4" s="94" t="s">
        <v>239</v>
      </c>
      <c r="AS4" s="95"/>
      <c r="AT4" s="94" t="s">
        <v>13</v>
      </c>
      <c r="AU4" s="95"/>
      <c r="AV4" s="94" t="s">
        <v>14</v>
      </c>
      <c r="AW4" s="95"/>
      <c r="AX4" s="94" t="s">
        <v>15</v>
      </c>
      <c r="AY4" s="95"/>
      <c r="AZ4" s="94" t="s">
        <v>16</v>
      </c>
      <c r="BA4" s="95"/>
      <c r="BB4" s="94" t="s">
        <v>17</v>
      </c>
      <c r="BC4" s="95"/>
      <c r="BD4" s="94" t="s">
        <v>237</v>
      </c>
      <c r="BE4" s="95"/>
      <c r="BF4" s="94" t="s">
        <v>238</v>
      </c>
      <c r="BG4" s="95"/>
      <c r="BH4" s="94" t="s">
        <v>18</v>
      </c>
      <c r="BI4" s="95"/>
      <c r="BJ4" s="94" t="s">
        <v>19</v>
      </c>
      <c r="BK4" s="95"/>
      <c r="BL4" s="96" t="s">
        <v>20</v>
      </c>
      <c r="BM4" s="97"/>
    </row>
    <row r="5" spans="1:65" ht="30" x14ac:dyDescent="0.25">
      <c r="A5" s="38"/>
      <c r="B5" s="34" t="s">
        <v>298</v>
      </c>
      <c r="C5" s="35" t="s">
        <v>299</v>
      </c>
      <c r="D5" s="34" t="s">
        <v>298</v>
      </c>
      <c r="E5" s="35" t="s">
        <v>299</v>
      </c>
      <c r="F5" s="34" t="s">
        <v>298</v>
      </c>
      <c r="G5" s="35" t="s">
        <v>299</v>
      </c>
      <c r="H5" s="34" t="s">
        <v>298</v>
      </c>
      <c r="I5" s="35" t="s">
        <v>299</v>
      </c>
      <c r="J5" s="34" t="s">
        <v>298</v>
      </c>
      <c r="K5" s="35" t="s">
        <v>299</v>
      </c>
      <c r="L5" s="34" t="s">
        <v>298</v>
      </c>
      <c r="M5" s="35" t="s">
        <v>299</v>
      </c>
      <c r="N5" s="34" t="s">
        <v>298</v>
      </c>
      <c r="O5" s="35" t="s">
        <v>299</v>
      </c>
      <c r="P5" s="34" t="s">
        <v>298</v>
      </c>
      <c r="Q5" s="35" t="s">
        <v>299</v>
      </c>
      <c r="R5" s="34" t="s">
        <v>298</v>
      </c>
      <c r="S5" s="35" t="s">
        <v>299</v>
      </c>
      <c r="T5" s="34" t="s">
        <v>298</v>
      </c>
      <c r="U5" s="35" t="s">
        <v>299</v>
      </c>
      <c r="V5" s="34" t="s">
        <v>298</v>
      </c>
      <c r="W5" s="35" t="s">
        <v>299</v>
      </c>
      <c r="X5" s="34" t="s">
        <v>298</v>
      </c>
      <c r="Y5" s="35" t="s">
        <v>299</v>
      </c>
      <c r="Z5" s="34" t="s">
        <v>298</v>
      </c>
      <c r="AA5" s="35" t="s">
        <v>299</v>
      </c>
      <c r="AB5" s="34" t="s">
        <v>298</v>
      </c>
      <c r="AC5" s="35" t="s">
        <v>299</v>
      </c>
      <c r="AD5" s="34" t="s">
        <v>298</v>
      </c>
      <c r="AE5" s="35" t="s">
        <v>299</v>
      </c>
      <c r="AF5" s="34" t="s">
        <v>298</v>
      </c>
      <c r="AG5" s="35" t="s">
        <v>299</v>
      </c>
      <c r="AH5" s="34" t="s">
        <v>298</v>
      </c>
      <c r="AI5" s="35" t="s">
        <v>299</v>
      </c>
      <c r="AJ5" s="34" t="s">
        <v>298</v>
      </c>
      <c r="AK5" s="35" t="s">
        <v>299</v>
      </c>
      <c r="AL5" s="34" t="s">
        <v>298</v>
      </c>
      <c r="AM5" s="35" t="s">
        <v>299</v>
      </c>
      <c r="AN5" s="34" t="s">
        <v>298</v>
      </c>
      <c r="AO5" s="35" t="s">
        <v>299</v>
      </c>
      <c r="AP5" s="34" t="s">
        <v>298</v>
      </c>
      <c r="AQ5" s="35" t="s">
        <v>299</v>
      </c>
      <c r="AR5" s="34" t="s">
        <v>298</v>
      </c>
      <c r="AS5" s="35" t="s">
        <v>299</v>
      </c>
      <c r="AT5" s="34" t="s">
        <v>298</v>
      </c>
      <c r="AU5" s="35" t="s">
        <v>299</v>
      </c>
      <c r="AV5" s="34" t="s">
        <v>298</v>
      </c>
      <c r="AW5" s="35" t="s">
        <v>299</v>
      </c>
      <c r="AX5" s="34" t="s">
        <v>298</v>
      </c>
      <c r="AY5" s="35" t="s">
        <v>299</v>
      </c>
      <c r="AZ5" s="34" t="s">
        <v>298</v>
      </c>
      <c r="BA5" s="35" t="s">
        <v>299</v>
      </c>
      <c r="BB5" s="34" t="s">
        <v>298</v>
      </c>
      <c r="BC5" s="35" t="s">
        <v>299</v>
      </c>
      <c r="BD5" s="34" t="s">
        <v>298</v>
      </c>
      <c r="BE5" s="35" t="s">
        <v>299</v>
      </c>
      <c r="BF5" s="34" t="s">
        <v>298</v>
      </c>
      <c r="BG5" s="35" t="s">
        <v>299</v>
      </c>
      <c r="BH5" s="34" t="s">
        <v>298</v>
      </c>
      <c r="BI5" s="35" t="s">
        <v>299</v>
      </c>
      <c r="BJ5" s="34" t="s">
        <v>298</v>
      </c>
      <c r="BK5" s="35" t="s">
        <v>299</v>
      </c>
      <c r="BL5" s="34" t="s">
        <v>298</v>
      </c>
      <c r="BM5" s="35" t="s">
        <v>299</v>
      </c>
    </row>
    <row r="6" spans="1:65" x14ac:dyDescent="0.25">
      <c r="A6" s="24" t="s">
        <v>285</v>
      </c>
      <c r="B6" s="24"/>
      <c r="C6" s="24"/>
      <c r="D6" s="24"/>
      <c r="E6" s="24"/>
      <c r="F6" s="24"/>
      <c r="G6" s="24"/>
      <c r="H6" s="24">
        <v>3254</v>
      </c>
      <c r="I6" s="24">
        <v>7792</v>
      </c>
      <c r="J6" s="24"/>
      <c r="K6" s="24"/>
      <c r="L6" s="24">
        <v>1469</v>
      </c>
      <c r="M6" s="24">
        <v>3319</v>
      </c>
      <c r="N6" s="24">
        <v>543</v>
      </c>
      <c r="O6" s="24">
        <v>1390</v>
      </c>
      <c r="P6" s="24"/>
      <c r="Q6" s="24"/>
      <c r="R6" s="24">
        <v>38.97</v>
      </c>
      <c r="S6" s="24">
        <v>125.08</v>
      </c>
      <c r="T6" s="24">
        <v>794.21</v>
      </c>
      <c r="U6" s="24">
        <v>2090.7600000000002</v>
      </c>
      <c r="V6" s="24">
        <v>3196</v>
      </c>
      <c r="W6" s="24">
        <v>7612</v>
      </c>
      <c r="X6" s="24">
        <v>3381</v>
      </c>
      <c r="Y6" s="24">
        <v>9802</v>
      </c>
      <c r="Z6" s="24">
        <v>1605</v>
      </c>
      <c r="AA6" s="24">
        <v>4091</v>
      </c>
      <c r="AB6" s="24">
        <v>103</v>
      </c>
      <c r="AC6" s="24">
        <v>241</v>
      </c>
      <c r="AD6" s="24">
        <v>140</v>
      </c>
      <c r="AE6" s="24">
        <v>431</v>
      </c>
      <c r="AF6" s="47">
        <v>308</v>
      </c>
      <c r="AG6" s="24">
        <v>675</v>
      </c>
      <c r="AH6" s="24"/>
      <c r="AI6" s="24"/>
      <c r="AJ6" s="24"/>
      <c r="AK6" s="24"/>
      <c r="AL6" s="24">
        <v>-13</v>
      </c>
      <c r="AM6" s="24"/>
      <c r="AN6" s="24"/>
      <c r="AO6" s="24"/>
      <c r="AP6" s="24">
        <v>69</v>
      </c>
      <c r="AQ6" s="24">
        <v>156</v>
      </c>
      <c r="AR6" s="24">
        <v>795</v>
      </c>
      <c r="AS6" s="24">
        <v>4200</v>
      </c>
      <c r="AT6" s="24">
        <v>541</v>
      </c>
      <c r="AU6" s="24">
        <v>1527</v>
      </c>
      <c r="AV6" s="24">
        <v>3464</v>
      </c>
      <c r="AW6" s="24">
        <v>7604</v>
      </c>
      <c r="AX6" s="24">
        <v>152</v>
      </c>
      <c r="AY6" s="24">
        <v>297</v>
      </c>
      <c r="AZ6" s="24"/>
      <c r="BA6" s="24"/>
      <c r="BB6" s="24">
        <v>3462</v>
      </c>
      <c r="BC6" s="24">
        <v>8037</v>
      </c>
      <c r="BD6" s="24"/>
      <c r="BE6" s="24"/>
      <c r="BF6" s="24">
        <v>3656</v>
      </c>
      <c r="BG6" s="24">
        <v>8046</v>
      </c>
      <c r="BH6" s="24"/>
      <c r="BI6" s="24"/>
      <c r="BJ6" s="24">
        <v>441</v>
      </c>
      <c r="BK6" s="24">
        <v>944</v>
      </c>
      <c r="BL6" s="37">
        <f>SUM(B6+D6+F6+H6+J6+L6+N6+P6+R6+T6+V6+X6+Z6+AB6+AD6+AF6+AH6+AJ6+AL6+AN6+AP6+AR6+AT6+AV6+AX6+AZ6+BB6+BD6+BF6+BH6+BJ6)</f>
        <v>27399.18</v>
      </c>
      <c r="BM6" s="37">
        <f>SUM(C6+E6+G6+I6+K6+M6+O6+Q6+S6+U6+W6+Y6+AA6+AC6+AE6+AG6+AI6+AK6+AM6+AO6+AQ6+AS6+AU6+AW6+AY6+BA6+BC6+BE6+BG6+BI6+BK6)</f>
        <v>68379.839999999997</v>
      </c>
    </row>
    <row r="7" spans="1:65" x14ac:dyDescent="0.25">
      <c r="A7" s="24" t="s">
        <v>286</v>
      </c>
      <c r="B7" s="24"/>
      <c r="C7" s="24"/>
      <c r="D7" s="24"/>
      <c r="E7" s="24"/>
      <c r="F7" s="24"/>
      <c r="G7" s="24"/>
      <c r="H7" s="24">
        <v>380</v>
      </c>
      <c r="I7" s="24">
        <v>1123</v>
      </c>
      <c r="J7" s="24"/>
      <c r="K7" s="24"/>
      <c r="L7" s="24">
        <v>169</v>
      </c>
      <c r="M7" s="24">
        <v>17</v>
      </c>
      <c r="N7" s="24">
        <v>233</v>
      </c>
      <c r="O7" s="24">
        <v>572</v>
      </c>
      <c r="P7" s="24"/>
      <c r="Q7" s="24"/>
      <c r="R7" s="24">
        <v>17.21</v>
      </c>
      <c r="S7" s="24">
        <v>44.14</v>
      </c>
      <c r="T7" s="24">
        <v>103.58</v>
      </c>
      <c r="U7" s="24">
        <v>240.98</v>
      </c>
      <c r="V7" s="24">
        <v>857</v>
      </c>
      <c r="W7" s="24">
        <v>2138</v>
      </c>
      <c r="X7" s="24">
        <v>900</v>
      </c>
      <c r="Y7" s="24">
        <v>2674</v>
      </c>
      <c r="Z7" s="24">
        <v>333</v>
      </c>
      <c r="AA7" s="24">
        <v>875</v>
      </c>
      <c r="AB7" s="24">
        <v>13</v>
      </c>
      <c r="AC7" s="24">
        <v>41</v>
      </c>
      <c r="AD7" s="24">
        <v>2</v>
      </c>
      <c r="AE7" s="24">
        <v>54</v>
      </c>
      <c r="AF7" s="47">
        <v>66</v>
      </c>
      <c r="AG7" s="24">
        <v>193</v>
      </c>
      <c r="AH7" s="24"/>
      <c r="AI7" s="24"/>
      <c r="AJ7" s="24"/>
      <c r="AK7" s="24"/>
      <c r="AL7" s="24"/>
      <c r="AM7" s="24"/>
      <c r="AN7" s="24"/>
      <c r="AO7" s="24"/>
      <c r="AP7" s="24">
        <v>25</v>
      </c>
      <c r="AQ7" s="24">
        <v>36</v>
      </c>
      <c r="AR7" s="24">
        <v>212</v>
      </c>
      <c r="AS7" s="24">
        <v>885</v>
      </c>
      <c r="AT7" s="24">
        <v>196</v>
      </c>
      <c r="AU7" s="24">
        <v>502</v>
      </c>
      <c r="AV7" s="24">
        <v>425</v>
      </c>
      <c r="AW7" s="24">
        <v>1172</v>
      </c>
      <c r="AX7" s="24">
        <v>22</v>
      </c>
      <c r="AY7" s="24">
        <v>39</v>
      </c>
      <c r="AZ7" s="24"/>
      <c r="BA7" s="24"/>
      <c r="BB7" s="24">
        <v>771</v>
      </c>
      <c r="BC7" s="24">
        <v>1777</v>
      </c>
      <c r="BD7" s="24"/>
      <c r="BE7" s="24"/>
      <c r="BF7" s="24">
        <v>1285</v>
      </c>
      <c r="BG7" s="24">
        <v>1826</v>
      </c>
      <c r="BH7" s="24"/>
      <c r="BI7" s="24"/>
      <c r="BJ7" s="24">
        <v>149</v>
      </c>
      <c r="BK7" s="24">
        <v>154</v>
      </c>
      <c r="BL7" s="37">
        <f t="shared" ref="BL7:BM12" si="0">SUM(B7+D7+F7+H7+J7+L7+N7+P7+R7+T7+V7+X7+Z7+AB7+AD7+AF7+AH7+AJ7+AL7+AN7+AP7+AR7+AT7+AV7+AX7+AZ7+BB7+BD7+BF7+BH7+BJ7)</f>
        <v>6158.79</v>
      </c>
      <c r="BM7" s="37">
        <f t="shared" si="0"/>
        <v>14363.119999999999</v>
      </c>
    </row>
    <row r="8" spans="1:65" x14ac:dyDescent="0.25">
      <c r="A8" s="24" t="s">
        <v>287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47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>
        <v>0</v>
      </c>
      <c r="BG8" s="24">
        <v>0</v>
      </c>
      <c r="BH8" s="24"/>
      <c r="BI8" s="24"/>
      <c r="BJ8" s="24"/>
      <c r="BK8" s="24"/>
      <c r="BL8" s="37">
        <f t="shared" si="0"/>
        <v>0</v>
      </c>
      <c r="BM8" s="37">
        <f t="shared" si="0"/>
        <v>0</v>
      </c>
    </row>
    <row r="9" spans="1:65" s="4" customFormat="1" x14ac:dyDescent="0.25">
      <c r="A9" s="26" t="s">
        <v>288</v>
      </c>
      <c r="B9" s="26"/>
      <c r="C9" s="26"/>
      <c r="D9" s="26"/>
      <c r="E9" s="26"/>
      <c r="F9" s="26"/>
      <c r="G9" s="26"/>
      <c r="H9" s="26">
        <v>3634</v>
      </c>
      <c r="I9" s="26">
        <v>8915</v>
      </c>
      <c r="J9" s="26"/>
      <c r="K9" s="26"/>
      <c r="L9" s="26">
        <v>1639</v>
      </c>
      <c r="M9" s="26">
        <v>3336</v>
      </c>
      <c r="N9" s="26">
        <v>776</v>
      </c>
      <c r="O9" s="26">
        <v>1962</v>
      </c>
      <c r="P9" s="26"/>
      <c r="Q9" s="26"/>
      <c r="R9" s="26">
        <v>56.18</v>
      </c>
      <c r="S9" s="26">
        <v>169.22</v>
      </c>
      <c r="T9" s="26">
        <v>897.78</v>
      </c>
      <c r="U9" s="26">
        <v>2331.7399999999998</v>
      </c>
      <c r="V9" s="26">
        <v>4053</v>
      </c>
      <c r="W9" s="26">
        <v>9750</v>
      </c>
      <c r="X9" s="26">
        <v>4281</v>
      </c>
      <c r="Y9" s="26">
        <v>12476</v>
      </c>
      <c r="Z9" s="26">
        <v>1938</v>
      </c>
      <c r="AA9" s="26">
        <v>4966</v>
      </c>
      <c r="AB9" s="26">
        <v>116</v>
      </c>
      <c r="AC9" s="26">
        <v>282</v>
      </c>
      <c r="AD9" s="26">
        <v>142</v>
      </c>
      <c r="AE9" s="26">
        <v>485</v>
      </c>
      <c r="AF9" s="26">
        <v>374</v>
      </c>
      <c r="AG9" s="26">
        <v>868</v>
      </c>
      <c r="AH9" s="26"/>
      <c r="AI9" s="26"/>
      <c r="AJ9" s="26">
        <v>1808</v>
      </c>
      <c r="AK9" s="26">
        <v>5996</v>
      </c>
      <c r="AL9" s="26">
        <v>-13</v>
      </c>
      <c r="AM9" s="26"/>
      <c r="AN9" s="26"/>
      <c r="AO9" s="26"/>
      <c r="AP9" s="26">
        <v>93</v>
      </c>
      <c r="AQ9" s="26">
        <v>192</v>
      </c>
      <c r="AR9" s="26">
        <v>1007</v>
      </c>
      <c r="AS9" s="26">
        <v>5084</v>
      </c>
      <c r="AT9" s="26">
        <v>737</v>
      </c>
      <c r="AU9" s="26">
        <v>2029</v>
      </c>
      <c r="AV9" s="26">
        <v>3890</v>
      </c>
      <c r="AW9" s="26">
        <v>8776</v>
      </c>
      <c r="AX9" s="26">
        <v>175</v>
      </c>
      <c r="AY9" s="26">
        <v>335</v>
      </c>
      <c r="AZ9" s="26"/>
      <c r="BA9" s="26"/>
      <c r="BB9" s="26">
        <v>4233</v>
      </c>
      <c r="BC9" s="26">
        <v>9814</v>
      </c>
      <c r="BD9" s="26">
        <v>12551</v>
      </c>
      <c r="BE9" s="26">
        <v>29714</v>
      </c>
      <c r="BF9" s="26">
        <v>4941</v>
      </c>
      <c r="BG9" s="26">
        <v>9872</v>
      </c>
      <c r="BH9" s="26">
        <v>4337</v>
      </c>
      <c r="BI9" s="26">
        <v>10105</v>
      </c>
      <c r="BJ9" s="26">
        <v>590</v>
      </c>
      <c r="BK9" s="26">
        <v>1098</v>
      </c>
      <c r="BL9" s="39">
        <f t="shared" si="0"/>
        <v>52255.96</v>
      </c>
      <c r="BM9" s="39">
        <f t="shared" si="0"/>
        <v>128555.95999999999</v>
      </c>
    </row>
    <row r="10" spans="1:65" x14ac:dyDescent="0.25">
      <c r="A10" s="24" t="s">
        <v>289</v>
      </c>
      <c r="B10" s="24"/>
      <c r="C10" s="24"/>
      <c r="D10" s="24"/>
      <c r="E10" s="24"/>
      <c r="F10" s="24"/>
      <c r="G10" s="24"/>
      <c r="H10" s="24">
        <v>674</v>
      </c>
      <c r="I10" s="24">
        <v>771</v>
      </c>
      <c r="J10" s="24"/>
      <c r="K10" s="24"/>
      <c r="L10" s="24">
        <v>27</v>
      </c>
      <c r="M10" s="24">
        <v>53</v>
      </c>
      <c r="N10" s="24">
        <v>491</v>
      </c>
      <c r="O10" s="24">
        <v>2376</v>
      </c>
      <c r="P10" s="24"/>
      <c r="Q10" s="24"/>
      <c r="R10" s="24">
        <v>43.15</v>
      </c>
      <c r="S10" s="24">
        <v>99.36</v>
      </c>
      <c r="T10" s="24">
        <v>92.92</v>
      </c>
      <c r="U10" s="24">
        <v>423.87</v>
      </c>
      <c r="V10" s="24">
        <v>315</v>
      </c>
      <c r="W10" s="24">
        <v>1271</v>
      </c>
      <c r="X10" s="24">
        <v>663</v>
      </c>
      <c r="Y10" s="24">
        <v>1523</v>
      </c>
      <c r="Z10" s="24">
        <v>554</v>
      </c>
      <c r="AA10" s="24">
        <v>840</v>
      </c>
      <c r="AB10" s="24">
        <v>13</v>
      </c>
      <c r="AC10" s="24">
        <v>58</v>
      </c>
      <c r="AD10" s="24">
        <v>15</v>
      </c>
      <c r="AE10" s="24">
        <v>28</v>
      </c>
      <c r="AF10" s="47">
        <v>136</v>
      </c>
      <c r="AG10" s="24">
        <v>483</v>
      </c>
      <c r="AH10" s="24"/>
      <c r="AI10" s="24"/>
      <c r="AJ10" s="24">
        <v>680</v>
      </c>
      <c r="AK10" s="24">
        <v>1280</v>
      </c>
      <c r="AL10" s="24">
        <v>6</v>
      </c>
      <c r="AM10" s="24">
        <v>12</v>
      </c>
      <c r="AN10" s="24"/>
      <c r="AO10" s="24"/>
      <c r="AP10" s="24">
        <v>18</v>
      </c>
      <c r="AQ10" s="24">
        <v>56</v>
      </c>
      <c r="AR10" s="24">
        <v>176</v>
      </c>
      <c r="AS10" s="24">
        <v>623</v>
      </c>
      <c r="AT10" s="24">
        <v>268</v>
      </c>
      <c r="AU10" s="24">
        <v>936</v>
      </c>
      <c r="AV10" s="24">
        <v>61</v>
      </c>
      <c r="AW10" s="24">
        <v>125</v>
      </c>
      <c r="AX10" s="24">
        <v>1</v>
      </c>
      <c r="AY10" s="24">
        <v>40</v>
      </c>
      <c r="AZ10" s="24"/>
      <c r="BA10" s="24"/>
      <c r="BB10" s="24">
        <v>340</v>
      </c>
      <c r="BC10" s="24">
        <v>872</v>
      </c>
      <c r="BD10" s="24">
        <v>4535</v>
      </c>
      <c r="BE10" s="24">
        <v>8218</v>
      </c>
      <c r="BF10" s="24">
        <v>1042</v>
      </c>
      <c r="BG10" s="24">
        <v>2048</v>
      </c>
      <c r="BH10" s="24">
        <v>-247</v>
      </c>
      <c r="BI10" s="24">
        <v>439</v>
      </c>
      <c r="BJ10" s="24">
        <v>24</v>
      </c>
      <c r="BK10" s="24">
        <v>65</v>
      </c>
      <c r="BL10" s="37">
        <f t="shared" si="0"/>
        <v>9928.07</v>
      </c>
      <c r="BM10" s="37">
        <f t="shared" si="0"/>
        <v>22640.23</v>
      </c>
    </row>
    <row r="11" spans="1:65" x14ac:dyDescent="0.25">
      <c r="A11" s="24" t="s">
        <v>290</v>
      </c>
      <c r="B11" s="24"/>
      <c r="C11" s="24"/>
      <c r="D11" s="24"/>
      <c r="E11" s="24"/>
      <c r="F11" s="24"/>
      <c r="G11" s="24"/>
      <c r="H11" s="24">
        <v>-10581</v>
      </c>
      <c r="I11" s="24">
        <v>-31225</v>
      </c>
      <c r="J11" s="24"/>
      <c r="K11" s="24"/>
      <c r="L11" s="24">
        <v>2419</v>
      </c>
      <c r="M11" s="24">
        <v>4902</v>
      </c>
      <c r="N11" s="24">
        <v>-2182</v>
      </c>
      <c r="O11" s="24">
        <v>-6890</v>
      </c>
      <c r="P11" s="24"/>
      <c r="Q11" s="24"/>
      <c r="R11" s="24">
        <v>62.52</v>
      </c>
      <c r="S11" s="24">
        <v>223.57</v>
      </c>
      <c r="T11" s="24">
        <v>1833.99</v>
      </c>
      <c r="U11" s="24">
        <v>3812.69</v>
      </c>
      <c r="V11" s="24">
        <v>-7639</v>
      </c>
      <c r="W11" s="24">
        <v>-20453</v>
      </c>
      <c r="X11" s="24">
        <v>9228</v>
      </c>
      <c r="Y11" s="24">
        <v>28767</v>
      </c>
      <c r="Z11" s="24">
        <v>3447</v>
      </c>
      <c r="AA11" s="24">
        <v>9680</v>
      </c>
      <c r="AB11" s="24">
        <v>250</v>
      </c>
      <c r="AC11" s="24">
        <v>553</v>
      </c>
      <c r="AD11" s="24">
        <v>191</v>
      </c>
      <c r="AE11" s="24">
        <v>623</v>
      </c>
      <c r="AF11" s="47">
        <v>-580</v>
      </c>
      <c r="AG11" s="24">
        <v>-1449</v>
      </c>
      <c r="AH11" s="24"/>
      <c r="AI11" s="24"/>
      <c r="AJ11" s="24">
        <v>512</v>
      </c>
      <c r="AK11" s="24">
        <v>1363</v>
      </c>
      <c r="AL11" s="24">
        <v>-11</v>
      </c>
      <c r="AM11" s="24">
        <v>-3</v>
      </c>
      <c r="AN11" s="24"/>
      <c r="AO11" s="24"/>
      <c r="AP11" s="24">
        <v>83</v>
      </c>
      <c r="AQ11" s="24">
        <v>200</v>
      </c>
      <c r="AR11" s="24">
        <v>4076</v>
      </c>
      <c r="AS11" s="24">
        <v>10061</v>
      </c>
      <c r="AT11" s="24">
        <v>1121</v>
      </c>
      <c r="AU11" s="24">
        <v>5802</v>
      </c>
      <c r="AV11" s="24">
        <v>6433</v>
      </c>
      <c r="AW11" s="24">
        <v>18821</v>
      </c>
      <c r="AX11" s="24">
        <v>73</v>
      </c>
      <c r="AY11" s="24">
        <v>146</v>
      </c>
      <c r="AZ11" s="24"/>
      <c r="BA11" s="24"/>
      <c r="BB11" s="24">
        <v>7087</v>
      </c>
      <c r="BC11" s="24">
        <v>19049</v>
      </c>
      <c r="BD11" s="24">
        <v>5064</v>
      </c>
      <c r="BE11" s="24">
        <v>21377</v>
      </c>
      <c r="BF11" s="24">
        <v>1967</v>
      </c>
      <c r="BG11" s="24">
        <v>4865</v>
      </c>
      <c r="BH11" s="24">
        <v>2305</v>
      </c>
      <c r="BI11" s="24">
        <v>5505</v>
      </c>
      <c r="BJ11" s="24">
        <v>489</v>
      </c>
      <c r="BK11" s="24">
        <v>3482</v>
      </c>
      <c r="BL11" s="37">
        <f t="shared" si="0"/>
        <v>25648.510000000002</v>
      </c>
      <c r="BM11" s="37">
        <f t="shared" si="0"/>
        <v>79212.259999999995</v>
      </c>
    </row>
    <row r="12" spans="1:65" s="4" customFormat="1" x14ac:dyDescent="0.25">
      <c r="A12" s="26" t="s">
        <v>190</v>
      </c>
      <c r="B12" s="26"/>
      <c r="C12" s="26"/>
      <c r="D12" s="26"/>
      <c r="E12" s="26"/>
      <c r="F12" s="26"/>
      <c r="G12" s="26"/>
      <c r="H12" s="26">
        <v>-6274</v>
      </c>
      <c r="I12" s="26">
        <v>-21539</v>
      </c>
      <c r="J12" s="26"/>
      <c r="K12" s="26"/>
      <c r="L12" s="26">
        <v>-754</v>
      </c>
      <c r="M12" s="26">
        <v>-1513</v>
      </c>
      <c r="N12" s="26">
        <v>-915</v>
      </c>
      <c r="O12" s="26">
        <v>-2552</v>
      </c>
      <c r="P12" s="26"/>
      <c r="Q12" s="26"/>
      <c r="R12" s="26">
        <v>36.81</v>
      </c>
      <c r="S12" s="26">
        <v>45.01</v>
      </c>
      <c r="T12" s="26">
        <v>-843.29</v>
      </c>
      <c r="U12" s="26">
        <v>-1057.0899999999999</v>
      </c>
      <c r="V12" s="26">
        <v>-3271</v>
      </c>
      <c r="W12" s="26">
        <v>-9432</v>
      </c>
      <c r="X12" s="26">
        <v>-4284</v>
      </c>
      <c r="Y12" s="26">
        <v>-14768</v>
      </c>
      <c r="Z12" s="26">
        <v>-955</v>
      </c>
      <c r="AA12" s="26">
        <v>-3874</v>
      </c>
      <c r="AB12" s="26">
        <v>-121</v>
      </c>
      <c r="AC12" s="26">
        <v>-213</v>
      </c>
      <c r="AD12" s="26">
        <v>-34</v>
      </c>
      <c r="AE12" s="26">
        <v>-110</v>
      </c>
      <c r="AF12" s="26">
        <v>-70</v>
      </c>
      <c r="AG12" s="26">
        <v>-98</v>
      </c>
      <c r="AH12" s="26"/>
      <c r="AI12" s="26"/>
      <c r="AJ12" s="26">
        <v>1977</v>
      </c>
      <c r="AK12" s="26">
        <v>5913</v>
      </c>
      <c r="AL12" s="26">
        <v>-18</v>
      </c>
      <c r="AM12" s="26">
        <v>9</v>
      </c>
      <c r="AN12" s="26"/>
      <c r="AO12" s="26"/>
      <c r="AP12" s="26">
        <v>28</v>
      </c>
      <c r="AQ12" s="26">
        <v>48</v>
      </c>
      <c r="AR12" s="26">
        <v>-2893</v>
      </c>
      <c r="AS12" s="26">
        <v>-4354</v>
      </c>
      <c r="AT12" s="26">
        <v>-116</v>
      </c>
      <c r="AU12" s="26">
        <v>-2836</v>
      </c>
      <c r="AV12" s="26">
        <v>-2483</v>
      </c>
      <c r="AW12" s="26">
        <v>-9920</v>
      </c>
      <c r="AX12" s="26">
        <v>103</v>
      </c>
      <c r="AY12" s="26">
        <v>229</v>
      </c>
      <c r="AZ12" s="26"/>
      <c r="BA12" s="26"/>
      <c r="BB12" s="26">
        <v>-2514</v>
      </c>
      <c r="BC12" s="26">
        <v>-8364</v>
      </c>
      <c r="BD12" s="26">
        <v>12022</v>
      </c>
      <c r="BE12" s="26">
        <v>16555</v>
      </c>
      <c r="BF12" s="26">
        <v>4015</v>
      </c>
      <c r="BG12" s="26">
        <v>7055</v>
      </c>
      <c r="BH12" s="26">
        <v>1785</v>
      </c>
      <c r="BI12" s="26">
        <v>5040</v>
      </c>
      <c r="BJ12" s="26">
        <v>125</v>
      </c>
      <c r="BK12" s="26">
        <v>-2319</v>
      </c>
      <c r="BL12" s="39">
        <f t="shared" si="0"/>
        <v>-5453.48</v>
      </c>
      <c r="BM12" s="39">
        <f t="shared" si="0"/>
        <v>-48055.08</v>
      </c>
    </row>
    <row r="14" spans="1:65" x14ac:dyDescent="0.25">
      <c r="A14" s="7" t="s">
        <v>183</v>
      </c>
    </row>
    <row r="15" spans="1:65" x14ac:dyDescent="0.25">
      <c r="A15" s="38" t="s">
        <v>0</v>
      </c>
      <c r="B15" s="94" t="s">
        <v>1</v>
      </c>
      <c r="C15" s="95"/>
      <c r="D15" s="94" t="s">
        <v>232</v>
      </c>
      <c r="E15" s="95"/>
      <c r="F15" s="94" t="s">
        <v>2</v>
      </c>
      <c r="G15" s="95"/>
      <c r="H15" s="94" t="s">
        <v>3</v>
      </c>
      <c r="I15" s="95"/>
      <c r="J15" s="94" t="s">
        <v>241</v>
      </c>
      <c r="K15" s="95"/>
      <c r="L15" s="94" t="s">
        <v>233</v>
      </c>
      <c r="M15" s="95"/>
      <c r="N15" s="94" t="s">
        <v>246</v>
      </c>
      <c r="O15" s="95"/>
      <c r="P15" s="94" t="s">
        <v>5</v>
      </c>
      <c r="Q15" s="95"/>
      <c r="R15" s="94" t="s">
        <v>4</v>
      </c>
      <c r="S15" s="95"/>
      <c r="T15" s="94" t="s">
        <v>6</v>
      </c>
      <c r="U15" s="95"/>
      <c r="V15" s="94" t="s">
        <v>7</v>
      </c>
      <c r="W15" s="95"/>
      <c r="X15" s="94" t="s">
        <v>8</v>
      </c>
      <c r="Y15" s="95"/>
      <c r="Z15" s="94" t="s">
        <v>9</v>
      </c>
      <c r="AA15" s="95"/>
      <c r="AB15" s="94" t="s">
        <v>240</v>
      </c>
      <c r="AC15" s="95"/>
      <c r="AD15" s="94" t="s">
        <v>10</v>
      </c>
      <c r="AE15" s="95"/>
      <c r="AF15" s="94" t="s">
        <v>11</v>
      </c>
      <c r="AG15" s="95"/>
      <c r="AH15" s="94" t="s">
        <v>234</v>
      </c>
      <c r="AI15" s="95"/>
      <c r="AJ15" s="94" t="s">
        <v>12</v>
      </c>
      <c r="AK15" s="95"/>
      <c r="AL15" s="94" t="s">
        <v>235</v>
      </c>
      <c r="AM15" s="95"/>
      <c r="AN15" s="94" t="s">
        <v>300</v>
      </c>
      <c r="AO15" s="95"/>
      <c r="AP15" s="94" t="s">
        <v>236</v>
      </c>
      <c r="AQ15" s="95"/>
      <c r="AR15" s="94" t="s">
        <v>239</v>
      </c>
      <c r="AS15" s="95"/>
      <c r="AT15" s="94" t="s">
        <v>13</v>
      </c>
      <c r="AU15" s="95"/>
      <c r="AV15" s="94" t="s">
        <v>14</v>
      </c>
      <c r="AW15" s="95"/>
      <c r="AX15" s="94" t="s">
        <v>15</v>
      </c>
      <c r="AY15" s="95"/>
      <c r="AZ15" s="94" t="s">
        <v>16</v>
      </c>
      <c r="BA15" s="95"/>
      <c r="BB15" s="94" t="s">
        <v>17</v>
      </c>
      <c r="BC15" s="95"/>
      <c r="BD15" s="94" t="s">
        <v>237</v>
      </c>
      <c r="BE15" s="95"/>
      <c r="BF15" s="94" t="s">
        <v>238</v>
      </c>
      <c r="BG15" s="95"/>
      <c r="BH15" s="94" t="s">
        <v>18</v>
      </c>
      <c r="BI15" s="95"/>
      <c r="BJ15" s="94" t="s">
        <v>19</v>
      </c>
      <c r="BK15" s="95"/>
      <c r="BL15" s="96" t="s">
        <v>20</v>
      </c>
      <c r="BM15" s="97"/>
    </row>
    <row r="16" spans="1:65" ht="30" x14ac:dyDescent="0.25">
      <c r="A16" s="38"/>
      <c r="B16" s="34" t="s">
        <v>298</v>
      </c>
      <c r="C16" s="35" t="s">
        <v>299</v>
      </c>
      <c r="D16" s="34" t="s">
        <v>298</v>
      </c>
      <c r="E16" s="35" t="s">
        <v>299</v>
      </c>
      <c r="F16" s="34" t="s">
        <v>298</v>
      </c>
      <c r="G16" s="35" t="s">
        <v>299</v>
      </c>
      <c r="H16" s="34" t="s">
        <v>298</v>
      </c>
      <c r="I16" s="35" t="s">
        <v>299</v>
      </c>
      <c r="J16" s="34" t="s">
        <v>298</v>
      </c>
      <c r="K16" s="35" t="s">
        <v>299</v>
      </c>
      <c r="L16" s="34" t="s">
        <v>298</v>
      </c>
      <c r="M16" s="35" t="s">
        <v>299</v>
      </c>
      <c r="N16" s="34" t="s">
        <v>298</v>
      </c>
      <c r="O16" s="35" t="s">
        <v>299</v>
      </c>
      <c r="P16" s="34" t="s">
        <v>298</v>
      </c>
      <c r="Q16" s="35" t="s">
        <v>299</v>
      </c>
      <c r="R16" s="34" t="s">
        <v>298</v>
      </c>
      <c r="S16" s="35" t="s">
        <v>299</v>
      </c>
      <c r="T16" s="34" t="s">
        <v>298</v>
      </c>
      <c r="U16" s="35" t="s">
        <v>299</v>
      </c>
      <c r="V16" s="34" t="s">
        <v>298</v>
      </c>
      <c r="W16" s="35" t="s">
        <v>299</v>
      </c>
      <c r="X16" s="34" t="s">
        <v>298</v>
      </c>
      <c r="Y16" s="35" t="s">
        <v>299</v>
      </c>
      <c r="Z16" s="34" t="s">
        <v>298</v>
      </c>
      <c r="AA16" s="35" t="s">
        <v>299</v>
      </c>
      <c r="AB16" s="34" t="s">
        <v>298</v>
      </c>
      <c r="AC16" s="35" t="s">
        <v>299</v>
      </c>
      <c r="AD16" s="34" t="s">
        <v>298</v>
      </c>
      <c r="AE16" s="35" t="s">
        <v>299</v>
      </c>
      <c r="AF16" s="34" t="s">
        <v>298</v>
      </c>
      <c r="AG16" s="35" t="s">
        <v>299</v>
      </c>
      <c r="AH16" s="34" t="s">
        <v>298</v>
      </c>
      <c r="AI16" s="35" t="s">
        <v>299</v>
      </c>
      <c r="AJ16" s="34" t="s">
        <v>298</v>
      </c>
      <c r="AK16" s="35" t="s">
        <v>299</v>
      </c>
      <c r="AL16" s="34" t="s">
        <v>298</v>
      </c>
      <c r="AM16" s="35" t="s">
        <v>299</v>
      </c>
      <c r="AN16" s="34" t="s">
        <v>298</v>
      </c>
      <c r="AO16" s="35" t="s">
        <v>299</v>
      </c>
      <c r="AP16" s="34" t="s">
        <v>298</v>
      </c>
      <c r="AQ16" s="35" t="s">
        <v>299</v>
      </c>
      <c r="AR16" s="34" t="s">
        <v>298</v>
      </c>
      <c r="AS16" s="35" t="s">
        <v>299</v>
      </c>
      <c r="AT16" s="34" t="s">
        <v>298</v>
      </c>
      <c r="AU16" s="35" t="s">
        <v>299</v>
      </c>
      <c r="AV16" s="34" t="s">
        <v>298</v>
      </c>
      <c r="AW16" s="35" t="s">
        <v>299</v>
      </c>
      <c r="AX16" s="34" t="s">
        <v>298</v>
      </c>
      <c r="AY16" s="35" t="s">
        <v>299</v>
      </c>
      <c r="AZ16" s="34" t="s">
        <v>298</v>
      </c>
      <c r="BA16" s="35" t="s">
        <v>299</v>
      </c>
      <c r="BB16" s="34" t="s">
        <v>298</v>
      </c>
      <c r="BC16" s="35" t="s">
        <v>299</v>
      </c>
      <c r="BD16" s="34" t="s">
        <v>298</v>
      </c>
      <c r="BE16" s="35" t="s">
        <v>299</v>
      </c>
      <c r="BF16" s="34" t="s">
        <v>298</v>
      </c>
      <c r="BG16" s="35" t="s">
        <v>299</v>
      </c>
      <c r="BH16" s="34" t="s">
        <v>298</v>
      </c>
      <c r="BI16" s="35" t="s">
        <v>299</v>
      </c>
      <c r="BJ16" s="34" t="s">
        <v>298</v>
      </c>
      <c r="BK16" s="35" t="s">
        <v>299</v>
      </c>
      <c r="BL16" s="34" t="s">
        <v>298</v>
      </c>
      <c r="BM16" s="35" t="s">
        <v>299</v>
      </c>
    </row>
    <row r="17" spans="1:65" x14ac:dyDescent="0.25">
      <c r="A17" s="24" t="s">
        <v>285</v>
      </c>
      <c r="B17" s="24"/>
      <c r="C17" s="24"/>
      <c r="D17" s="24"/>
      <c r="E17" s="24"/>
      <c r="F17" s="24"/>
      <c r="G17" s="24"/>
      <c r="H17" s="24">
        <v>494</v>
      </c>
      <c r="I17" s="24">
        <v>1119</v>
      </c>
      <c r="J17" s="24"/>
      <c r="K17" s="24"/>
      <c r="L17" s="24">
        <v>208</v>
      </c>
      <c r="M17" s="24">
        <v>512</v>
      </c>
      <c r="N17" s="24">
        <v>34</v>
      </c>
      <c r="O17" s="24">
        <v>82</v>
      </c>
      <c r="P17" s="24"/>
      <c r="Q17" s="24"/>
      <c r="R17" s="24">
        <v>3.26</v>
      </c>
      <c r="S17" s="24">
        <v>15.53</v>
      </c>
      <c r="T17" s="24">
        <v>292.41000000000003</v>
      </c>
      <c r="U17" s="24">
        <v>709.13</v>
      </c>
      <c r="V17" s="24">
        <v>624</v>
      </c>
      <c r="W17" s="24">
        <v>1367</v>
      </c>
      <c r="X17" s="24">
        <v>1425</v>
      </c>
      <c r="Y17" s="24">
        <v>3494</v>
      </c>
      <c r="Z17" s="24">
        <v>650</v>
      </c>
      <c r="AA17" s="24">
        <v>1329</v>
      </c>
      <c r="AB17" s="24">
        <v>44</v>
      </c>
      <c r="AC17" s="24">
        <v>106</v>
      </c>
      <c r="AD17" s="24">
        <v>129</v>
      </c>
      <c r="AE17" s="24">
        <v>290</v>
      </c>
      <c r="AF17" s="47">
        <v>40</v>
      </c>
      <c r="AG17" s="24">
        <v>96</v>
      </c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>
        <v>219</v>
      </c>
      <c r="AS17" s="24">
        <v>799</v>
      </c>
      <c r="AT17" s="24">
        <v>116</v>
      </c>
      <c r="AU17" s="24">
        <v>298</v>
      </c>
      <c r="AV17" s="24">
        <v>263</v>
      </c>
      <c r="AW17" s="24">
        <v>606</v>
      </c>
      <c r="AX17" s="24">
        <v>5</v>
      </c>
      <c r="AY17" s="24">
        <v>9</v>
      </c>
      <c r="AZ17" s="24"/>
      <c r="BA17" s="24"/>
      <c r="BB17" s="24">
        <v>1718</v>
      </c>
      <c r="BC17" s="24">
        <v>4003</v>
      </c>
      <c r="BD17" s="24"/>
      <c r="BE17" s="24"/>
      <c r="BF17" s="24">
        <v>795</v>
      </c>
      <c r="BG17" s="24">
        <v>1923</v>
      </c>
      <c r="BH17" s="24"/>
      <c r="BI17" s="24"/>
      <c r="BJ17" s="24">
        <v>59</v>
      </c>
      <c r="BK17" s="24">
        <v>56</v>
      </c>
      <c r="BL17" s="37">
        <f t="shared" ref="BL17:BL23" si="1">SUM(B17+D17+F17+H17+J17+L17+N17+P17+R17+T17+V17+X17+Z17+AB17+AD17+AF17+AH17+AJ17+AL17+AN28+AP17+AR17+AT17+AV17+AX17+AZ17+BB17+BD17+BF17+BH17+BJ17)</f>
        <v>7118.67</v>
      </c>
      <c r="BM17" s="37">
        <f t="shared" ref="BM17:BM23" si="2">SUM(C17+E17+G17+I17+K17+M17+O17+Q17+S17+U17+W17+Y17+AA17+AC17+AE17+AG17+AI17+AK17+AM17+AO17+AQ17+AS17+AU17+AW17+AY17+BA17+BC17+BE17+BG17+BI17+BK17)</f>
        <v>16813.66</v>
      </c>
    </row>
    <row r="18" spans="1:65" x14ac:dyDescent="0.25">
      <c r="A18" s="24" t="s">
        <v>286</v>
      </c>
      <c r="B18" s="24"/>
      <c r="C18" s="24"/>
      <c r="D18" s="24"/>
      <c r="E18" s="24"/>
      <c r="F18" s="24"/>
      <c r="G18" s="24"/>
      <c r="H18" s="24">
        <v>36</v>
      </c>
      <c r="I18" s="24">
        <v>74</v>
      </c>
      <c r="J18" s="24"/>
      <c r="K18" s="24"/>
      <c r="L18" s="24">
        <v>35</v>
      </c>
      <c r="M18" s="24">
        <v>3</v>
      </c>
      <c r="N18" s="24">
        <v>7</v>
      </c>
      <c r="O18" s="24">
        <v>20</v>
      </c>
      <c r="P18" s="24"/>
      <c r="Q18" s="24"/>
      <c r="R18" s="24"/>
      <c r="S18" s="24">
        <v>0.16</v>
      </c>
      <c r="T18" s="24">
        <v>54.65</v>
      </c>
      <c r="U18" s="24">
        <v>72.430000000000007</v>
      </c>
      <c r="V18" s="24">
        <v>49</v>
      </c>
      <c r="W18" s="24">
        <v>121</v>
      </c>
      <c r="X18" s="24">
        <v>193</v>
      </c>
      <c r="Y18" s="24">
        <v>449</v>
      </c>
      <c r="Z18" s="24">
        <v>144</v>
      </c>
      <c r="AA18" s="24">
        <v>351</v>
      </c>
      <c r="AB18" s="24">
        <v>13</v>
      </c>
      <c r="AC18" s="24">
        <v>32</v>
      </c>
      <c r="AD18" s="24">
        <v>15</v>
      </c>
      <c r="AE18" s="24">
        <v>46</v>
      </c>
      <c r="AF18" s="47">
        <v>1</v>
      </c>
      <c r="AG18" s="24">
        <v>3</v>
      </c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>
        <v>67</v>
      </c>
      <c r="AS18" s="24">
        <v>179</v>
      </c>
      <c r="AT18" s="24">
        <v>38</v>
      </c>
      <c r="AU18" s="24">
        <v>105</v>
      </c>
      <c r="AV18" s="24">
        <v>78</v>
      </c>
      <c r="AW18" s="24">
        <v>181</v>
      </c>
      <c r="AX18" s="24">
        <v>1</v>
      </c>
      <c r="AY18" s="24">
        <v>2</v>
      </c>
      <c r="AZ18" s="24"/>
      <c r="BA18" s="24"/>
      <c r="BB18" s="24">
        <v>409</v>
      </c>
      <c r="BC18" s="24">
        <v>791</v>
      </c>
      <c r="BD18" s="24"/>
      <c r="BE18" s="24"/>
      <c r="BF18" s="24">
        <v>173</v>
      </c>
      <c r="BG18" s="24">
        <v>251</v>
      </c>
      <c r="BH18" s="24"/>
      <c r="BI18" s="24"/>
      <c r="BJ18" s="24">
        <v>7</v>
      </c>
      <c r="BK18" s="24">
        <v>7</v>
      </c>
      <c r="BL18" s="37">
        <f t="shared" si="1"/>
        <v>1320.65</v>
      </c>
      <c r="BM18" s="37">
        <f t="shared" si="2"/>
        <v>2687.59</v>
      </c>
    </row>
    <row r="19" spans="1:65" x14ac:dyDescent="0.25">
      <c r="A19" s="24" t="s">
        <v>287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47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>
        <v>0</v>
      </c>
      <c r="BG19" s="24">
        <v>0</v>
      </c>
      <c r="BH19" s="24"/>
      <c r="BI19" s="24"/>
      <c r="BJ19" s="24"/>
      <c r="BK19" s="24"/>
      <c r="BL19" s="37">
        <f t="shared" si="1"/>
        <v>0</v>
      </c>
      <c r="BM19" s="37">
        <f t="shared" si="2"/>
        <v>0</v>
      </c>
    </row>
    <row r="20" spans="1:65" s="4" customFormat="1" x14ac:dyDescent="0.25">
      <c r="A20" s="26" t="s">
        <v>288</v>
      </c>
      <c r="B20" s="26"/>
      <c r="C20" s="26"/>
      <c r="D20" s="26"/>
      <c r="E20" s="26"/>
      <c r="F20" s="26"/>
      <c r="G20" s="26"/>
      <c r="H20" s="26">
        <v>530</v>
      </c>
      <c r="I20" s="26">
        <v>1193</v>
      </c>
      <c r="J20" s="26"/>
      <c r="K20" s="26"/>
      <c r="L20" s="26">
        <v>244</v>
      </c>
      <c r="M20" s="26">
        <v>516</v>
      </c>
      <c r="N20" s="26">
        <v>41</v>
      </c>
      <c r="O20" s="26">
        <v>102</v>
      </c>
      <c r="P20" s="26"/>
      <c r="Q20" s="26"/>
      <c r="R20" s="26">
        <v>3.26</v>
      </c>
      <c r="S20" s="26">
        <v>15.69</v>
      </c>
      <c r="T20" s="26">
        <v>347.06</v>
      </c>
      <c r="U20" s="26">
        <v>781.56</v>
      </c>
      <c r="V20" s="26">
        <v>673</v>
      </c>
      <c r="W20" s="26">
        <v>1488</v>
      </c>
      <c r="X20" s="26">
        <v>1618</v>
      </c>
      <c r="Y20" s="26">
        <v>3943</v>
      </c>
      <c r="Z20" s="26">
        <v>794</v>
      </c>
      <c r="AA20" s="26">
        <v>1680</v>
      </c>
      <c r="AB20" s="26">
        <v>58</v>
      </c>
      <c r="AC20" s="26">
        <v>138</v>
      </c>
      <c r="AD20" s="26">
        <v>144</v>
      </c>
      <c r="AE20" s="26">
        <v>336</v>
      </c>
      <c r="AF20" s="26">
        <v>41</v>
      </c>
      <c r="AG20" s="26">
        <v>100</v>
      </c>
      <c r="AH20" s="26"/>
      <c r="AI20" s="26"/>
      <c r="AJ20" s="26">
        <v>562</v>
      </c>
      <c r="AK20" s="26">
        <v>1237</v>
      </c>
      <c r="AL20" s="26"/>
      <c r="AM20" s="26"/>
      <c r="AN20" s="26"/>
      <c r="AO20" s="26"/>
      <c r="AP20" s="26"/>
      <c r="AQ20" s="26"/>
      <c r="AR20" s="26">
        <v>286</v>
      </c>
      <c r="AS20" s="26">
        <v>978</v>
      </c>
      <c r="AT20" s="26">
        <v>154</v>
      </c>
      <c r="AU20" s="26">
        <v>402</v>
      </c>
      <c r="AV20" s="26">
        <v>342</v>
      </c>
      <c r="AW20" s="26">
        <v>787</v>
      </c>
      <c r="AX20" s="26">
        <v>6</v>
      </c>
      <c r="AY20" s="26">
        <v>10</v>
      </c>
      <c r="AZ20" s="26"/>
      <c r="BA20" s="26"/>
      <c r="BB20" s="26">
        <v>2127</v>
      </c>
      <c r="BC20" s="26">
        <v>4794</v>
      </c>
      <c r="BD20" s="26">
        <v>2352</v>
      </c>
      <c r="BE20" s="26">
        <v>4866</v>
      </c>
      <c r="BF20" s="26">
        <v>969</v>
      </c>
      <c r="BG20" s="26">
        <v>2175</v>
      </c>
      <c r="BH20" s="26">
        <v>787</v>
      </c>
      <c r="BI20" s="26">
        <v>1723</v>
      </c>
      <c r="BJ20" s="26">
        <v>66</v>
      </c>
      <c r="BK20" s="26">
        <v>63</v>
      </c>
      <c r="BL20" s="39">
        <f t="shared" si="1"/>
        <v>12144.32</v>
      </c>
      <c r="BM20" s="39">
        <f t="shared" si="2"/>
        <v>27328.25</v>
      </c>
    </row>
    <row r="21" spans="1:65" x14ac:dyDescent="0.25">
      <c r="A21" s="24" t="s">
        <v>289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v>24</v>
      </c>
      <c r="O21" s="24">
        <v>41</v>
      </c>
      <c r="P21" s="24"/>
      <c r="Q21" s="24"/>
      <c r="R21" s="24"/>
      <c r="S21" s="24"/>
      <c r="T21" s="24">
        <v>6.44</v>
      </c>
      <c r="U21" s="24">
        <v>10.89</v>
      </c>
      <c r="V21" s="24">
        <v>19</v>
      </c>
      <c r="W21" s="24">
        <v>56</v>
      </c>
      <c r="X21" s="24">
        <v>82</v>
      </c>
      <c r="Y21" s="24">
        <v>115</v>
      </c>
      <c r="Z21" s="24">
        <v>1</v>
      </c>
      <c r="AA21" s="24">
        <v>2</v>
      </c>
      <c r="AB21" s="24"/>
      <c r="AC21" s="24">
        <v>0</v>
      </c>
      <c r="AD21" s="24"/>
      <c r="AE21" s="24"/>
      <c r="AF21" s="47"/>
      <c r="AG21" s="24">
        <v>6</v>
      </c>
      <c r="AH21" s="24"/>
      <c r="AI21" s="24"/>
      <c r="AJ21" s="24">
        <v>37</v>
      </c>
      <c r="AK21" s="24">
        <v>82</v>
      </c>
      <c r="AL21" s="24"/>
      <c r="AM21" s="24"/>
      <c r="AN21" s="24"/>
      <c r="AO21" s="24"/>
      <c r="AP21" s="24"/>
      <c r="AQ21" s="24"/>
      <c r="AR21" s="24">
        <v>3</v>
      </c>
      <c r="AS21" s="24">
        <v>3</v>
      </c>
      <c r="AT21" s="24">
        <v>0</v>
      </c>
      <c r="AU21" s="24">
        <v>0</v>
      </c>
      <c r="AV21" s="24">
        <v>16</v>
      </c>
      <c r="AW21" s="24">
        <v>44</v>
      </c>
      <c r="AX21" s="24"/>
      <c r="AY21" s="24"/>
      <c r="AZ21" s="24"/>
      <c r="BA21" s="24"/>
      <c r="BB21" s="24">
        <v>33</v>
      </c>
      <c r="BC21" s="24">
        <v>53</v>
      </c>
      <c r="BD21" s="24">
        <v>285</v>
      </c>
      <c r="BE21" s="24">
        <v>440</v>
      </c>
      <c r="BF21" s="24">
        <v>42</v>
      </c>
      <c r="BG21" s="24">
        <v>99</v>
      </c>
      <c r="BH21" s="24">
        <v>-39</v>
      </c>
      <c r="BI21" s="24">
        <v>37</v>
      </c>
      <c r="BJ21" s="24">
        <v>2</v>
      </c>
      <c r="BK21" s="24">
        <v>3</v>
      </c>
      <c r="BL21" s="37">
        <f t="shared" si="1"/>
        <v>511.44000000000005</v>
      </c>
      <c r="BM21" s="37">
        <f t="shared" si="2"/>
        <v>991.89</v>
      </c>
    </row>
    <row r="22" spans="1:65" x14ac:dyDescent="0.25">
      <c r="A22" s="24" t="s">
        <v>290</v>
      </c>
      <c r="B22" s="24"/>
      <c r="C22" s="24"/>
      <c r="D22" s="24"/>
      <c r="E22" s="24"/>
      <c r="F22" s="24"/>
      <c r="G22" s="24"/>
      <c r="H22" s="24">
        <v>-254</v>
      </c>
      <c r="I22" s="24">
        <v>-398</v>
      </c>
      <c r="J22" s="24"/>
      <c r="K22" s="24"/>
      <c r="L22" s="24">
        <v>468</v>
      </c>
      <c r="M22" s="24">
        <v>826</v>
      </c>
      <c r="N22" s="24">
        <v>-48</v>
      </c>
      <c r="O22" s="24">
        <v>-553</v>
      </c>
      <c r="P22" s="24"/>
      <c r="Q22" s="24"/>
      <c r="R22" s="24">
        <v>3.34</v>
      </c>
      <c r="S22" s="24">
        <v>14.88</v>
      </c>
      <c r="T22" s="24">
        <v>72.92</v>
      </c>
      <c r="U22" s="24">
        <v>127.82</v>
      </c>
      <c r="V22" s="24">
        <v>-80</v>
      </c>
      <c r="W22" s="24">
        <v>-185</v>
      </c>
      <c r="X22" s="24">
        <v>291</v>
      </c>
      <c r="Y22" s="24">
        <v>679</v>
      </c>
      <c r="Z22" s="24">
        <v>652</v>
      </c>
      <c r="AA22" s="24">
        <v>1438</v>
      </c>
      <c r="AB22" s="24">
        <v>64</v>
      </c>
      <c r="AC22" s="24">
        <v>114</v>
      </c>
      <c r="AD22" s="24">
        <v>5</v>
      </c>
      <c r="AE22" s="24">
        <v>27</v>
      </c>
      <c r="AF22" s="47">
        <v>-50</v>
      </c>
      <c r="AG22" s="24">
        <v>-125</v>
      </c>
      <c r="AH22" s="24"/>
      <c r="AI22" s="24"/>
      <c r="AJ22" s="24">
        <v>344</v>
      </c>
      <c r="AK22" s="24">
        <v>577</v>
      </c>
      <c r="AL22" s="24"/>
      <c r="AM22" s="24"/>
      <c r="AN22" s="24"/>
      <c r="AO22" s="24"/>
      <c r="AP22" s="24"/>
      <c r="AQ22" s="24"/>
      <c r="AR22" s="24">
        <v>299</v>
      </c>
      <c r="AS22" s="24">
        <v>660</v>
      </c>
      <c r="AT22" s="24">
        <v>89</v>
      </c>
      <c r="AU22" s="24">
        <v>222</v>
      </c>
      <c r="AV22" s="24">
        <v>29</v>
      </c>
      <c r="AW22" s="24">
        <v>53</v>
      </c>
      <c r="AX22" s="24">
        <v>3</v>
      </c>
      <c r="AY22" s="24">
        <v>6</v>
      </c>
      <c r="AZ22" s="24"/>
      <c r="BA22" s="24"/>
      <c r="BB22" s="24">
        <v>185</v>
      </c>
      <c r="BC22" s="24">
        <v>490</v>
      </c>
      <c r="BD22" s="24">
        <v>725</v>
      </c>
      <c r="BE22" s="24">
        <v>1156</v>
      </c>
      <c r="BF22" s="24">
        <v>518</v>
      </c>
      <c r="BG22" s="24">
        <v>1075</v>
      </c>
      <c r="BH22" s="24">
        <v>235</v>
      </c>
      <c r="BI22" s="24">
        <v>374</v>
      </c>
      <c r="BJ22" s="24">
        <v>128</v>
      </c>
      <c r="BK22" s="24">
        <v>207</v>
      </c>
      <c r="BL22" s="37">
        <f t="shared" si="1"/>
        <v>3679.26</v>
      </c>
      <c r="BM22" s="37">
        <f t="shared" si="2"/>
        <v>6785.7</v>
      </c>
    </row>
    <row r="23" spans="1:65" s="4" customFormat="1" x14ac:dyDescent="0.25">
      <c r="A23" s="26" t="s">
        <v>190</v>
      </c>
      <c r="B23" s="26"/>
      <c r="C23" s="26"/>
      <c r="D23" s="26"/>
      <c r="E23" s="26"/>
      <c r="F23" s="26"/>
      <c r="G23" s="26"/>
      <c r="H23" s="26">
        <v>276</v>
      </c>
      <c r="I23" s="26">
        <v>795</v>
      </c>
      <c r="J23" s="26"/>
      <c r="K23" s="26"/>
      <c r="L23" s="26">
        <v>-224</v>
      </c>
      <c r="M23" s="26">
        <v>-311</v>
      </c>
      <c r="N23" s="26">
        <v>17</v>
      </c>
      <c r="O23" s="26">
        <v>-410</v>
      </c>
      <c r="P23" s="26"/>
      <c r="Q23" s="26"/>
      <c r="R23" s="26">
        <v>-0.08</v>
      </c>
      <c r="S23" s="26">
        <v>0.81</v>
      </c>
      <c r="T23" s="26">
        <v>280.58</v>
      </c>
      <c r="U23" s="26">
        <v>664.63</v>
      </c>
      <c r="V23" s="26">
        <v>612</v>
      </c>
      <c r="W23" s="26">
        <v>1359</v>
      </c>
      <c r="X23" s="26">
        <v>1409</v>
      </c>
      <c r="Y23" s="26">
        <v>3379</v>
      </c>
      <c r="Z23" s="26">
        <v>143</v>
      </c>
      <c r="AA23" s="26">
        <v>244</v>
      </c>
      <c r="AB23" s="26">
        <v>-6</v>
      </c>
      <c r="AC23" s="26">
        <v>25</v>
      </c>
      <c r="AD23" s="26">
        <v>139</v>
      </c>
      <c r="AE23" s="26">
        <v>309</v>
      </c>
      <c r="AF23" s="26">
        <v>-8</v>
      </c>
      <c r="AG23" s="26">
        <v>-20</v>
      </c>
      <c r="AH23" s="26"/>
      <c r="AI23" s="26"/>
      <c r="AJ23" s="26">
        <v>255</v>
      </c>
      <c r="AK23" s="26">
        <v>743</v>
      </c>
      <c r="AL23" s="26"/>
      <c r="AM23" s="26"/>
      <c r="AN23" s="26"/>
      <c r="AO23" s="26"/>
      <c r="AP23" s="26"/>
      <c r="AQ23" s="26"/>
      <c r="AR23" s="26">
        <v>-10</v>
      </c>
      <c r="AS23" s="26">
        <v>321</v>
      </c>
      <c r="AT23" s="26">
        <v>65</v>
      </c>
      <c r="AU23" s="26">
        <v>180</v>
      </c>
      <c r="AV23" s="26">
        <v>329</v>
      </c>
      <c r="AW23" s="26">
        <v>778</v>
      </c>
      <c r="AX23" s="26">
        <v>3</v>
      </c>
      <c r="AY23" s="26">
        <v>4</v>
      </c>
      <c r="AZ23" s="26"/>
      <c r="BA23" s="26"/>
      <c r="BB23" s="26">
        <v>1975</v>
      </c>
      <c r="BC23" s="26">
        <v>4357</v>
      </c>
      <c r="BD23" s="26">
        <v>1912</v>
      </c>
      <c r="BE23" s="26">
        <v>4149</v>
      </c>
      <c r="BF23" s="26">
        <v>493</v>
      </c>
      <c r="BG23" s="26">
        <v>1198</v>
      </c>
      <c r="BH23" s="26">
        <v>513</v>
      </c>
      <c r="BI23" s="26">
        <v>1387</v>
      </c>
      <c r="BJ23" s="26">
        <v>-59</v>
      </c>
      <c r="BK23" s="26">
        <v>-140</v>
      </c>
      <c r="BL23" s="39">
        <f t="shared" si="1"/>
        <v>8114.5</v>
      </c>
      <c r="BM23" s="39">
        <f t="shared" si="2"/>
        <v>19012.440000000002</v>
      </c>
    </row>
    <row r="25" spans="1:65" x14ac:dyDescent="0.25">
      <c r="A25" s="7" t="s">
        <v>184</v>
      </c>
    </row>
    <row r="26" spans="1:65" x14ac:dyDescent="0.25">
      <c r="A26" s="38" t="s">
        <v>0</v>
      </c>
      <c r="B26" s="94" t="s">
        <v>1</v>
      </c>
      <c r="C26" s="95"/>
      <c r="D26" s="94" t="s">
        <v>232</v>
      </c>
      <c r="E26" s="95"/>
      <c r="F26" s="94" t="s">
        <v>2</v>
      </c>
      <c r="G26" s="95"/>
      <c r="H26" s="94" t="s">
        <v>3</v>
      </c>
      <c r="I26" s="95"/>
      <c r="J26" s="94" t="s">
        <v>241</v>
      </c>
      <c r="K26" s="95"/>
      <c r="L26" s="94" t="s">
        <v>233</v>
      </c>
      <c r="M26" s="95"/>
      <c r="N26" s="94" t="s">
        <v>246</v>
      </c>
      <c r="O26" s="95"/>
      <c r="P26" s="94" t="s">
        <v>5</v>
      </c>
      <c r="Q26" s="95"/>
      <c r="R26" s="94" t="s">
        <v>4</v>
      </c>
      <c r="S26" s="95"/>
      <c r="T26" s="94" t="s">
        <v>6</v>
      </c>
      <c r="U26" s="95"/>
      <c r="V26" s="94" t="s">
        <v>7</v>
      </c>
      <c r="W26" s="95"/>
      <c r="X26" s="94" t="s">
        <v>8</v>
      </c>
      <c r="Y26" s="95"/>
      <c r="Z26" s="94" t="s">
        <v>9</v>
      </c>
      <c r="AA26" s="95"/>
      <c r="AB26" s="94" t="s">
        <v>240</v>
      </c>
      <c r="AC26" s="95"/>
      <c r="AD26" s="94" t="s">
        <v>10</v>
      </c>
      <c r="AE26" s="95"/>
      <c r="AF26" s="94" t="s">
        <v>11</v>
      </c>
      <c r="AG26" s="95"/>
      <c r="AH26" s="94" t="s">
        <v>234</v>
      </c>
      <c r="AI26" s="95"/>
      <c r="AJ26" s="94" t="s">
        <v>12</v>
      </c>
      <c r="AK26" s="95"/>
      <c r="AL26" s="94" t="s">
        <v>235</v>
      </c>
      <c r="AM26" s="95"/>
      <c r="AN26" s="94" t="s">
        <v>300</v>
      </c>
      <c r="AO26" s="95"/>
      <c r="AP26" s="94" t="s">
        <v>236</v>
      </c>
      <c r="AQ26" s="95"/>
      <c r="AR26" s="94" t="s">
        <v>239</v>
      </c>
      <c r="AS26" s="95"/>
      <c r="AT26" s="94" t="s">
        <v>13</v>
      </c>
      <c r="AU26" s="95"/>
      <c r="AV26" s="94" t="s">
        <v>14</v>
      </c>
      <c r="AW26" s="95"/>
      <c r="AX26" s="94" t="s">
        <v>15</v>
      </c>
      <c r="AY26" s="95"/>
      <c r="AZ26" s="94" t="s">
        <v>16</v>
      </c>
      <c r="BA26" s="95"/>
      <c r="BB26" s="94" t="s">
        <v>17</v>
      </c>
      <c r="BC26" s="95"/>
      <c r="BD26" s="94" t="s">
        <v>237</v>
      </c>
      <c r="BE26" s="95"/>
      <c r="BF26" s="94" t="s">
        <v>238</v>
      </c>
      <c r="BG26" s="95"/>
      <c r="BH26" s="94" t="s">
        <v>18</v>
      </c>
      <c r="BI26" s="95"/>
      <c r="BJ26" s="94" t="s">
        <v>19</v>
      </c>
      <c r="BK26" s="95"/>
      <c r="BL26" s="96" t="s">
        <v>20</v>
      </c>
      <c r="BM26" s="97"/>
    </row>
    <row r="27" spans="1:65" ht="30" x14ac:dyDescent="0.25">
      <c r="A27" s="38"/>
      <c r="B27" s="34" t="s">
        <v>298</v>
      </c>
      <c r="C27" s="35" t="s">
        <v>299</v>
      </c>
      <c r="D27" s="34" t="s">
        <v>298</v>
      </c>
      <c r="E27" s="35" t="s">
        <v>299</v>
      </c>
      <c r="F27" s="34" t="s">
        <v>298</v>
      </c>
      <c r="G27" s="35" t="s">
        <v>299</v>
      </c>
      <c r="H27" s="34" t="s">
        <v>298</v>
      </c>
      <c r="I27" s="35" t="s">
        <v>299</v>
      </c>
      <c r="J27" s="34" t="s">
        <v>298</v>
      </c>
      <c r="K27" s="35" t="s">
        <v>299</v>
      </c>
      <c r="L27" s="34" t="s">
        <v>298</v>
      </c>
      <c r="M27" s="35" t="s">
        <v>299</v>
      </c>
      <c r="N27" s="34" t="s">
        <v>298</v>
      </c>
      <c r="O27" s="35" t="s">
        <v>299</v>
      </c>
      <c r="P27" s="34" t="s">
        <v>298</v>
      </c>
      <c r="Q27" s="35" t="s">
        <v>299</v>
      </c>
      <c r="R27" s="34" t="s">
        <v>298</v>
      </c>
      <c r="S27" s="35" t="s">
        <v>299</v>
      </c>
      <c r="T27" s="34" t="s">
        <v>298</v>
      </c>
      <c r="U27" s="35" t="s">
        <v>299</v>
      </c>
      <c r="V27" s="34" t="s">
        <v>298</v>
      </c>
      <c r="W27" s="35" t="s">
        <v>299</v>
      </c>
      <c r="X27" s="34" t="s">
        <v>298</v>
      </c>
      <c r="Y27" s="35" t="s">
        <v>299</v>
      </c>
      <c r="Z27" s="34" t="s">
        <v>298</v>
      </c>
      <c r="AA27" s="35" t="s">
        <v>299</v>
      </c>
      <c r="AB27" s="34" t="s">
        <v>298</v>
      </c>
      <c r="AC27" s="35" t="s">
        <v>299</v>
      </c>
      <c r="AD27" s="34" t="s">
        <v>298</v>
      </c>
      <c r="AE27" s="35" t="s">
        <v>299</v>
      </c>
      <c r="AF27" s="34" t="s">
        <v>298</v>
      </c>
      <c r="AG27" s="35" t="s">
        <v>299</v>
      </c>
      <c r="AH27" s="34" t="s">
        <v>298</v>
      </c>
      <c r="AI27" s="35" t="s">
        <v>299</v>
      </c>
      <c r="AJ27" s="34" t="s">
        <v>298</v>
      </c>
      <c r="AK27" s="35" t="s">
        <v>299</v>
      </c>
      <c r="AL27" s="34" t="s">
        <v>298</v>
      </c>
      <c r="AM27" s="35" t="s">
        <v>299</v>
      </c>
      <c r="AN27" s="34" t="s">
        <v>298</v>
      </c>
      <c r="AO27" s="35" t="s">
        <v>299</v>
      </c>
      <c r="AP27" s="34" t="s">
        <v>298</v>
      </c>
      <c r="AQ27" s="35" t="s">
        <v>299</v>
      </c>
      <c r="AR27" s="34" t="s">
        <v>298</v>
      </c>
      <c r="AS27" s="35" t="s">
        <v>299</v>
      </c>
      <c r="AT27" s="34" t="s">
        <v>298</v>
      </c>
      <c r="AU27" s="35" t="s">
        <v>299</v>
      </c>
      <c r="AV27" s="34" t="s">
        <v>298</v>
      </c>
      <c r="AW27" s="35" t="s">
        <v>299</v>
      </c>
      <c r="AX27" s="34" t="s">
        <v>298</v>
      </c>
      <c r="AY27" s="35" t="s">
        <v>299</v>
      </c>
      <c r="AZ27" s="34" t="s">
        <v>298</v>
      </c>
      <c r="BA27" s="35" t="s">
        <v>299</v>
      </c>
      <c r="BB27" s="34" t="s">
        <v>298</v>
      </c>
      <c r="BC27" s="35" t="s">
        <v>299</v>
      </c>
      <c r="BD27" s="34" t="s">
        <v>298</v>
      </c>
      <c r="BE27" s="35" t="s">
        <v>299</v>
      </c>
      <c r="BF27" s="34" t="s">
        <v>298</v>
      </c>
      <c r="BG27" s="35" t="s">
        <v>299</v>
      </c>
      <c r="BH27" s="34" t="s">
        <v>298</v>
      </c>
      <c r="BI27" s="35" t="s">
        <v>299</v>
      </c>
      <c r="BJ27" s="34" t="s">
        <v>298</v>
      </c>
      <c r="BK27" s="35" t="s">
        <v>299</v>
      </c>
      <c r="BL27" s="34" t="s">
        <v>298</v>
      </c>
      <c r="BM27" s="35" t="s">
        <v>299</v>
      </c>
    </row>
    <row r="28" spans="1:65" x14ac:dyDescent="0.25">
      <c r="A28" s="24" t="s">
        <v>285</v>
      </c>
      <c r="B28" s="24">
        <v>129</v>
      </c>
      <c r="C28" s="24">
        <v>212</v>
      </c>
      <c r="D28" s="24"/>
      <c r="E28" s="24"/>
      <c r="F28" s="24"/>
      <c r="G28" s="24"/>
      <c r="H28" s="24">
        <v>7831</v>
      </c>
      <c r="I28" s="24">
        <v>14486</v>
      </c>
      <c r="J28" s="24"/>
      <c r="K28" s="24"/>
      <c r="L28" s="24">
        <v>7040</v>
      </c>
      <c r="M28" s="24">
        <v>14612</v>
      </c>
      <c r="N28" s="24">
        <v>4420</v>
      </c>
      <c r="O28" s="24">
        <v>7870</v>
      </c>
      <c r="P28" s="24"/>
      <c r="Q28" s="24"/>
      <c r="R28" s="24">
        <v>513.46</v>
      </c>
      <c r="S28" s="24">
        <v>841.39</v>
      </c>
      <c r="T28" s="24">
        <v>2780.19</v>
      </c>
      <c r="U28" s="24">
        <v>5510.48</v>
      </c>
      <c r="V28" s="24">
        <v>8430</v>
      </c>
      <c r="W28" s="24">
        <v>14144</v>
      </c>
      <c r="X28" s="24">
        <v>13414</v>
      </c>
      <c r="Y28" s="24">
        <v>25135</v>
      </c>
      <c r="Z28" s="24">
        <v>8596</v>
      </c>
      <c r="AA28" s="24">
        <v>15085</v>
      </c>
      <c r="AB28" s="24">
        <v>848</v>
      </c>
      <c r="AC28" s="24">
        <v>1585</v>
      </c>
      <c r="AD28" s="24">
        <v>2688</v>
      </c>
      <c r="AE28" s="24">
        <v>4711</v>
      </c>
      <c r="AF28" s="47">
        <v>2558</v>
      </c>
      <c r="AG28" s="24">
        <v>4999</v>
      </c>
      <c r="AH28" s="24"/>
      <c r="AI28" s="24"/>
      <c r="AJ28" s="24"/>
      <c r="AK28" s="24"/>
      <c r="AL28" s="24">
        <v>1</v>
      </c>
      <c r="AM28" s="24">
        <v>20</v>
      </c>
      <c r="AN28" s="24"/>
      <c r="AO28" s="24"/>
      <c r="AP28" s="24">
        <v>1448</v>
      </c>
      <c r="AQ28" s="24">
        <v>2518</v>
      </c>
      <c r="AR28" s="24">
        <v>6381</v>
      </c>
      <c r="AS28" s="24">
        <v>11916</v>
      </c>
      <c r="AT28" s="24">
        <v>4195</v>
      </c>
      <c r="AU28" s="24">
        <v>7530</v>
      </c>
      <c r="AV28" s="24">
        <v>4010</v>
      </c>
      <c r="AW28" s="24">
        <v>8330</v>
      </c>
      <c r="AX28" s="24">
        <v>2460</v>
      </c>
      <c r="AY28" s="24">
        <v>4073</v>
      </c>
      <c r="AZ28" s="24"/>
      <c r="BA28" s="24"/>
      <c r="BB28" s="24">
        <v>8014</v>
      </c>
      <c r="BC28" s="24">
        <v>13935</v>
      </c>
      <c r="BD28" s="24"/>
      <c r="BE28" s="24"/>
      <c r="BF28" s="24">
        <v>4501</v>
      </c>
      <c r="BG28" s="24">
        <v>8333</v>
      </c>
      <c r="BH28" s="24"/>
      <c r="BI28" s="24"/>
      <c r="BJ28" s="24">
        <v>4626</v>
      </c>
      <c r="BK28" s="24">
        <v>8605</v>
      </c>
      <c r="BL28" s="37">
        <f t="shared" ref="BL28:BL34" si="3">SUM(B28+D28+F28+H28+J28+L28+N28+P28+R28+T28+V28+X28+Z28+AB28+AD28+AF28+AH28+AJ28+AL28+AN50+AP28+AR28+AT28+AV28+AX28+AZ28+BB28+BD28+BF28+BH28+BJ28)</f>
        <v>95131.65</v>
      </c>
      <c r="BM28" s="37">
        <f t="shared" ref="BM28:BM34" si="4">SUM(C28+E28+G28+I28+K28+M28+O28+Q28+S28+U28+W28+Y28+AA28+AC28+AE28+AG28+AI28+AK28+AM28+AO28+AQ28+AS28+AU28+AW28+AY28+BA28+BC28+BE28+BG28+BI28+BK28)</f>
        <v>174450.87</v>
      </c>
    </row>
    <row r="29" spans="1:65" x14ac:dyDescent="0.25">
      <c r="A29" s="24" t="s">
        <v>286</v>
      </c>
      <c r="B29" s="24">
        <v>10</v>
      </c>
      <c r="C29" s="24">
        <v>17</v>
      </c>
      <c r="D29" s="24"/>
      <c r="E29" s="24"/>
      <c r="F29" s="24"/>
      <c r="G29" s="24"/>
      <c r="H29" s="24">
        <v>1918</v>
      </c>
      <c r="I29" s="24">
        <v>3425</v>
      </c>
      <c r="J29" s="24"/>
      <c r="K29" s="24"/>
      <c r="L29" s="24">
        <v>1070</v>
      </c>
      <c r="M29" s="24">
        <v>91</v>
      </c>
      <c r="N29" s="24">
        <v>1238</v>
      </c>
      <c r="O29" s="24">
        <v>2184</v>
      </c>
      <c r="P29" s="24"/>
      <c r="Q29" s="24"/>
      <c r="R29" s="24">
        <v>128.55000000000001</v>
      </c>
      <c r="S29" s="24">
        <v>208.76</v>
      </c>
      <c r="T29" s="24">
        <v>348.56</v>
      </c>
      <c r="U29" s="24">
        <v>720.95</v>
      </c>
      <c r="V29" s="24">
        <v>2035</v>
      </c>
      <c r="W29" s="24">
        <v>3412</v>
      </c>
      <c r="X29" s="24">
        <v>3234</v>
      </c>
      <c r="Y29" s="24">
        <v>6279</v>
      </c>
      <c r="Z29" s="24">
        <v>489</v>
      </c>
      <c r="AA29" s="24">
        <v>1200</v>
      </c>
      <c r="AB29" s="24">
        <v>219</v>
      </c>
      <c r="AC29" s="24">
        <v>418</v>
      </c>
      <c r="AD29" s="24">
        <v>769</v>
      </c>
      <c r="AE29" s="24">
        <v>1378</v>
      </c>
      <c r="AF29" s="47">
        <v>746</v>
      </c>
      <c r="AG29" s="24">
        <v>1457</v>
      </c>
      <c r="AH29" s="24"/>
      <c r="AI29" s="24"/>
      <c r="AJ29" s="24"/>
      <c r="AK29" s="24"/>
      <c r="AL29" s="24"/>
      <c r="AM29" s="24">
        <v>5</v>
      </c>
      <c r="AN29" s="24"/>
      <c r="AO29" s="24"/>
      <c r="AP29" s="24">
        <v>39</v>
      </c>
      <c r="AQ29" s="24">
        <v>75</v>
      </c>
      <c r="AR29" s="24">
        <v>-770</v>
      </c>
      <c r="AS29" s="24">
        <v>308</v>
      </c>
      <c r="AT29" s="24">
        <v>929</v>
      </c>
      <c r="AU29" s="24">
        <v>1680</v>
      </c>
      <c r="AV29" s="24">
        <v>1130</v>
      </c>
      <c r="AW29" s="24">
        <v>2399</v>
      </c>
      <c r="AX29" s="24">
        <v>347</v>
      </c>
      <c r="AY29" s="24">
        <v>634</v>
      </c>
      <c r="AZ29" s="24"/>
      <c r="BA29" s="24"/>
      <c r="BB29" s="24">
        <v>3611</v>
      </c>
      <c r="BC29" s="24">
        <v>5171</v>
      </c>
      <c r="BD29" s="24"/>
      <c r="BE29" s="24"/>
      <c r="BF29" s="24">
        <v>2195</v>
      </c>
      <c r="BG29" s="24">
        <v>3247</v>
      </c>
      <c r="BH29" s="24"/>
      <c r="BI29" s="24"/>
      <c r="BJ29" s="24">
        <v>1278</v>
      </c>
      <c r="BK29" s="24">
        <v>2299</v>
      </c>
      <c r="BL29" s="37">
        <f t="shared" si="3"/>
        <v>20964.11</v>
      </c>
      <c r="BM29" s="37">
        <f t="shared" si="4"/>
        <v>36608.71</v>
      </c>
    </row>
    <row r="30" spans="1:65" x14ac:dyDescent="0.25">
      <c r="A30" s="24" t="s">
        <v>287</v>
      </c>
      <c r="B30" s="24"/>
      <c r="C30" s="24"/>
      <c r="D30" s="24"/>
      <c r="E30" s="24"/>
      <c r="F30" s="24"/>
      <c r="G30" s="24"/>
      <c r="H30" s="24">
        <v>396</v>
      </c>
      <c r="I30" s="24">
        <v>723</v>
      </c>
      <c r="J30" s="24"/>
      <c r="K30" s="24"/>
      <c r="L30" s="24">
        <v>27</v>
      </c>
      <c r="M30" s="24">
        <v>65</v>
      </c>
      <c r="N30" s="24">
        <v>160</v>
      </c>
      <c r="O30" s="24">
        <v>292</v>
      </c>
      <c r="P30" s="24"/>
      <c r="Q30" s="24"/>
      <c r="R30" s="24"/>
      <c r="S30" s="24"/>
      <c r="T30" s="24">
        <v>99.11</v>
      </c>
      <c r="U30" s="24">
        <v>190.26</v>
      </c>
      <c r="V30" s="24">
        <v>484</v>
      </c>
      <c r="W30" s="24">
        <v>841</v>
      </c>
      <c r="X30" s="24">
        <v>1350</v>
      </c>
      <c r="Y30" s="24">
        <v>2578</v>
      </c>
      <c r="Z30" s="24">
        <v>266</v>
      </c>
      <c r="AA30" s="24">
        <v>524</v>
      </c>
      <c r="AB30" s="24"/>
      <c r="AC30" s="24"/>
      <c r="AD30" s="24">
        <v>105</v>
      </c>
      <c r="AE30" s="24">
        <v>192</v>
      </c>
      <c r="AF30" s="47">
        <v>29</v>
      </c>
      <c r="AG30" s="24">
        <v>69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>
        <v>2157</v>
      </c>
      <c r="AS30" s="24">
        <v>2356</v>
      </c>
      <c r="AT30" s="24">
        <v>41</v>
      </c>
      <c r="AU30" s="24">
        <v>84</v>
      </c>
      <c r="AV30" s="24">
        <v>1</v>
      </c>
      <c r="AW30" s="24">
        <v>1</v>
      </c>
      <c r="AX30" s="24">
        <v>23</v>
      </c>
      <c r="AY30" s="24">
        <v>46</v>
      </c>
      <c r="AZ30" s="24"/>
      <c r="BA30" s="24"/>
      <c r="BB30" s="24">
        <v>2776</v>
      </c>
      <c r="BC30" s="24">
        <v>5533</v>
      </c>
      <c r="BD30" s="24"/>
      <c r="BE30" s="24"/>
      <c r="BF30" s="24">
        <v>874</v>
      </c>
      <c r="BG30" s="24">
        <v>1633</v>
      </c>
      <c r="BH30" s="24"/>
      <c r="BI30" s="24"/>
      <c r="BJ30" s="24"/>
      <c r="BK30" s="24"/>
      <c r="BL30" s="37">
        <f t="shared" si="3"/>
        <v>8788.11</v>
      </c>
      <c r="BM30" s="37">
        <f t="shared" si="4"/>
        <v>15127.26</v>
      </c>
    </row>
    <row r="31" spans="1:65" s="4" customFormat="1" x14ac:dyDescent="0.25">
      <c r="A31" s="26" t="s">
        <v>288</v>
      </c>
      <c r="B31" s="26">
        <v>139</v>
      </c>
      <c r="C31" s="26">
        <v>229</v>
      </c>
      <c r="D31" s="26"/>
      <c r="E31" s="26"/>
      <c r="F31" s="26"/>
      <c r="G31" s="26"/>
      <c r="H31" s="26">
        <v>10145</v>
      </c>
      <c r="I31" s="26">
        <v>18634</v>
      </c>
      <c r="J31" s="26"/>
      <c r="K31" s="26"/>
      <c r="L31" s="26">
        <v>8136</v>
      </c>
      <c r="M31" s="26">
        <v>14768</v>
      </c>
      <c r="N31" s="26">
        <v>5818</v>
      </c>
      <c r="O31" s="26">
        <v>10346</v>
      </c>
      <c r="P31" s="26"/>
      <c r="Q31" s="26"/>
      <c r="R31" s="26">
        <v>642.01</v>
      </c>
      <c r="S31" s="26">
        <v>1050.1500000000001</v>
      </c>
      <c r="T31" s="26">
        <v>3227.87</v>
      </c>
      <c r="U31" s="26">
        <v>6421.69</v>
      </c>
      <c r="V31" s="26">
        <v>10949</v>
      </c>
      <c r="W31" s="26">
        <v>18396</v>
      </c>
      <c r="X31" s="26">
        <v>17998</v>
      </c>
      <c r="Y31" s="26">
        <v>33992</v>
      </c>
      <c r="Z31" s="26">
        <v>9351</v>
      </c>
      <c r="AA31" s="26">
        <v>16809</v>
      </c>
      <c r="AB31" s="26">
        <v>1068</v>
      </c>
      <c r="AC31" s="26">
        <v>2003</v>
      </c>
      <c r="AD31" s="26">
        <v>3561</v>
      </c>
      <c r="AE31" s="26">
        <v>6281</v>
      </c>
      <c r="AF31" s="26">
        <v>3333</v>
      </c>
      <c r="AG31" s="26">
        <v>6525</v>
      </c>
      <c r="AH31" s="26"/>
      <c r="AI31" s="26"/>
      <c r="AJ31" s="26">
        <v>11534</v>
      </c>
      <c r="AK31" s="26">
        <v>16970</v>
      </c>
      <c r="AL31" s="26">
        <v>1</v>
      </c>
      <c r="AM31" s="26">
        <v>25</v>
      </c>
      <c r="AN31" s="26"/>
      <c r="AO31" s="26"/>
      <c r="AP31" s="26">
        <v>1487</v>
      </c>
      <c r="AQ31" s="26">
        <v>2593</v>
      </c>
      <c r="AR31" s="26">
        <v>7768</v>
      </c>
      <c r="AS31" s="26">
        <v>14579</v>
      </c>
      <c r="AT31" s="26">
        <v>5165</v>
      </c>
      <c r="AU31" s="26">
        <v>9294</v>
      </c>
      <c r="AV31" s="26">
        <v>5141</v>
      </c>
      <c r="AW31" s="26">
        <v>10729</v>
      </c>
      <c r="AX31" s="26">
        <v>2830</v>
      </c>
      <c r="AY31" s="26">
        <v>4752</v>
      </c>
      <c r="AZ31" s="26"/>
      <c r="BA31" s="26"/>
      <c r="BB31" s="26">
        <v>14401</v>
      </c>
      <c r="BC31" s="26">
        <v>24639</v>
      </c>
      <c r="BD31" s="26">
        <v>23946</v>
      </c>
      <c r="BE31" s="26">
        <v>44494</v>
      </c>
      <c r="BF31" s="26">
        <v>7570</v>
      </c>
      <c r="BG31" s="26">
        <v>13214</v>
      </c>
      <c r="BH31" s="26">
        <v>13620</v>
      </c>
      <c r="BI31" s="26">
        <v>23623</v>
      </c>
      <c r="BJ31" s="26">
        <v>5904</v>
      </c>
      <c r="BK31" s="26">
        <v>10904</v>
      </c>
      <c r="BL31" s="39">
        <f t="shared" si="3"/>
        <v>173982.88</v>
      </c>
      <c r="BM31" s="39">
        <f t="shared" si="4"/>
        <v>311270.83999999997</v>
      </c>
    </row>
    <row r="32" spans="1:65" x14ac:dyDescent="0.25">
      <c r="A32" s="24" t="s">
        <v>289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>
        <v>468</v>
      </c>
      <c r="O32" s="24">
        <v>852</v>
      </c>
      <c r="P32" s="24"/>
      <c r="Q32" s="24"/>
      <c r="R32" s="24"/>
      <c r="S32" s="24"/>
      <c r="T32" s="24"/>
      <c r="U32" s="24"/>
      <c r="V32" s="24"/>
      <c r="W32" s="24"/>
      <c r="X32" s="24">
        <v>148</v>
      </c>
      <c r="Y32" s="24">
        <v>148</v>
      </c>
      <c r="Z32" s="24"/>
      <c r="AA32" s="24"/>
      <c r="AB32" s="24"/>
      <c r="AC32" s="24"/>
      <c r="AD32" s="24"/>
      <c r="AE32" s="24"/>
      <c r="AF32" s="47"/>
      <c r="AG32" s="24"/>
      <c r="AH32" s="24"/>
      <c r="AI32" s="24"/>
      <c r="AJ32" s="24">
        <v>1</v>
      </c>
      <c r="AK32" s="24">
        <v>2</v>
      </c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>
        <v>5</v>
      </c>
      <c r="BE32" s="24">
        <v>9</v>
      </c>
      <c r="BF32" s="24">
        <v>22</v>
      </c>
      <c r="BG32" s="24">
        <v>22</v>
      </c>
      <c r="BH32" s="24"/>
      <c r="BI32" s="24"/>
      <c r="BJ32" s="24"/>
      <c r="BK32" s="24"/>
      <c r="BL32" s="37">
        <f t="shared" si="3"/>
        <v>644</v>
      </c>
      <c r="BM32" s="37">
        <f t="shared" si="4"/>
        <v>1033</v>
      </c>
    </row>
    <row r="33" spans="1:65" x14ac:dyDescent="0.25">
      <c r="A33" s="24" t="s">
        <v>290</v>
      </c>
      <c r="B33" s="24">
        <v>378</v>
      </c>
      <c r="C33" s="24">
        <v>1149</v>
      </c>
      <c r="D33" s="24"/>
      <c r="E33" s="24"/>
      <c r="F33" s="24"/>
      <c r="G33" s="24"/>
      <c r="H33" s="24">
        <v>-7692</v>
      </c>
      <c r="I33" s="24">
        <v>-12182</v>
      </c>
      <c r="J33" s="24"/>
      <c r="K33" s="24"/>
      <c r="L33" s="24">
        <v>5315</v>
      </c>
      <c r="M33" s="24">
        <v>8901</v>
      </c>
      <c r="N33" s="24">
        <v>404</v>
      </c>
      <c r="O33" s="24">
        <v>-579</v>
      </c>
      <c r="P33" s="24"/>
      <c r="Q33" s="24"/>
      <c r="R33" s="24">
        <v>603.46</v>
      </c>
      <c r="S33" s="24">
        <v>1057.6099999999999</v>
      </c>
      <c r="T33" s="24">
        <v>1059.58</v>
      </c>
      <c r="U33" s="24">
        <v>1206.3</v>
      </c>
      <c r="V33" s="24">
        <v>-7246</v>
      </c>
      <c r="W33" s="24">
        <v>-14156</v>
      </c>
      <c r="X33" s="24">
        <v>763</v>
      </c>
      <c r="Y33" s="24">
        <v>1489</v>
      </c>
      <c r="Z33" s="24">
        <v>385</v>
      </c>
      <c r="AA33" s="24">
        <v>679</v>
      </c>
      <c r="AB33" s="24">
        <v>810</v>
      </c>
      <c r="AC33" s="24">
        <v>1133</v>
      </c>
      <c r="AD33" s="24">
        <v>137</v>
      </c>
      <c r="AE33" s="24">
        <v>620</v>
      </c>
      <c r="AF33" s="47">
        <v>-772</v>
      </c>
      <c r="AG33" s="24">
        <v>-2249</v>
      </c>
      <c r="AH33" s="24"/>
      <c r="AI33" s="24"/>
      <c r="AJ33" s="24">
        <v>412</v>
      </c>
      <c r="AK33" s="24">
        <v>769</v>
      </c>
      <c r="AL33" s="24">
        <v>-89</v>
      </c>
      <c r="AM33" s="24">
        <v>-101</v>
      </c>
      <c r="AN33" s="24"/>
      <c r="AO33" s="24"/>
      <c r="AP33" s="24">
        <v>54</v>
      </c>
      <c r="AQ33" s="24">
        <v>94</v>
      </c>
      <c r="AR33" s="24">
        <v>6490</v>
      </c>
      <c r="AS33" s="24">
        <v>11235</v>
      </c>
      <c r="AT33" s="24">
        <v>3538</v>
      </c>
      <c r="AU33" s="24">
        <v>4291</v>
      </c>
      <c r="AV33" s="24">
        <v>3623</v>
      </c>
      <c r="AW33" s="24">
        <v>6877</v>
      </c>
      <c r="AX33" s="24">
        <v>155</v>
      </c>
      <c r="AY33" s="24">
        <v>257</v>
      </c>
      <c r="AZ33" s="24"/>
      <c r="BA33" s="24"/>
      <c r="BB33" s="24">
        <v>1114</v>
      </c>
      <c r="BC33" s="24">
        <v>2075</v>
      </c>
      <c r="BD33" s="24">
        <v>744</v>
      </c>
      <c r="BE33" s="24">
        <v>1345</v>
      </c>
      <c r="BF33" s="24">
        <v>288</v>
      </c>
      <c r="BG33" s="24">
        <v>510</v>
      </c>
      <c r="BH33" s="24">
        <v>429</v>
      </c>
      <c r="BI33" s="24">
        <v>788</v>
      </c>
      <c r="BJ33" s="24">
        <v>1538</v>
      </c>
      <c r="BK33" s="24">
        <v>3268</v>
      </c>
      <c r="BL33" s="37">
        <f t="shared" si="3"/>
        <v>12542.04</v>
      </c>
      <c r="BM33" s="37">
        <f t="shared" si="4"/>
        <v>18476.91</v>
      </c>
    </row>
    <row r="34" spans="1:65" s="4" customFormat="1" x14ac:dyDescent="0.25">
      <c r="A34" s="26" t="s">
        <v>190</v>
      </c>
      <c r="B34" s="26">
        <v>-239</v>
      </c>
      <c r="C34" s="26">
        <v>-920</v>
      </c>
      <c r="D34" s="26"/>
      <c r="E34" s="26"/>
      <c r="F34" s="26"/>
      <c r="G34" s="26"/>
      <c r="H34" s="26">
        <v>2453</v>
      </c>
      <c r="I34" s="26">
        <v>6452</v>
      </c>
      <c r="J34" s="26"/>
      <c r="K34" s="26"/>
      <c r="L34" s="26">
        <v>2822</v>
      </c>
      <c r="M34" s="26">
        <v>5867</v>
      </c>
      <c r="N34" s="26">
        <v>6690</v>
      </c>
      <c r="O34" s="26">
        <v>10619</v>
      </c>
      <c r="P34" s="26"/>
      <c r="Q34" s="26"/>
      <c r="R34" s="26">
        <v>38.549999999999997</v>
      </c>
      <c r="S34" s="26">
        <v>-7.46</v>
      </c>
      <c r="T34" s="26">
        <v>2168.2800000000002</v>
      </c>
      <c r="U34" s="26">
        <v>5215.3900000000003</v>
      </c>
      <c r="V34" s="26">
        <v>3704</v>
      </c>
      <c r="W34" s="26">
        <v>4240</v>
      </c>
      <c r="X34" s="26">
        <v>17383</v>
      </c>
      <c r="Y34" s="26">
        <v>32651</v>
      </c>
      <c r="Z34" s="26">
        <v>8966</v>
      </c>
      <c r="AA34" s="26">
        <v>16130</v>
      </c>
      <c r="AB34" s="26">
        <v>258</v>
      </c>
      <c r="AC34" s="26">
        <v>870</v>
      </c>
      <c r="AD34" s="26">
        <v>3424</v>
      </c>
      <c r="AE34" s="26">
        <v>5661</v>
      </c>
      <c r="AF34" s="26">
        <v>2561</v>
      </c>
      <c r="AG34" s="26">
        <v>4276</v>
      </c>
      <c r="AH34" s="26"/>
      <c r="AI34" s="26"/>
      <c r="AJ34" s="26">
        <v>11123</v>
      </c>
      <c r="AK34" s="26">
        <v>16203</v>
      </c>
      <c r="AL34" s="26">
        <v>-88</v>
      </c>
      <c r="AM34" s="26">
        <v>-76</v>
      </c>
      <c r="AN34" s="26"/>
      <c r="AO34" s="26"/>
      <c r="AP34" s="26">
        <v>1433</v>
      </c>
      <c r="AQ34" s="26">
        <v>2498</v>
      </c>
      <c r="AR34" s="26">
        <v>1278</v>
      </c>
      <c r="AS34" s="26">
        <v>3344</v>
      </c>
      <c r="AT34" s="26">
        <v>1627</v>
      </c>
      <c r="AU34" s="26">
        <v>5003</v>
      </c>
      <c r="AV34" s="26">
        <v>1517</v>
      </c>
      <c r="AW34" s="26">
        <v>3853</v>
      </c>
      <c r="AX34" s="26">
        <v>2675</v>
      </c>
      <c r="AY34" s="26">
        <v>4495</v>
      </c>
      <c r="AZ34" s="26"/>
      <c r="BA34" s="26"/>
      <c r="BB34" s="26">
        <v>13287</v>
      </c>
      <c r="BC34" s="26">
        <v>22564</v>
      </c>
      <c r="BD34" s="26">
        <v>23207</v>
      </c>
      <c r="BE34" s="26">
        <v>43158</v>
      </c>
      <c r="BF34" s="26">
        <v>7304</v>
      </c>
      <c r="BG34" s="26">
        <v>12726</v>
      </c>
      <c r="BH34" s="26">
        <v>13190</v>
      </c>
      <c r="BI34" s="26">
        <v>22835</v>
      </c>
      <c r="BJ34" s="26">
        <v>4366</v>
      </c>
      <c r="BK34" s="26">
        <v>7636</v>
      </c>
      <c r="BL34" s="39">
        <f t="shared" si="3"/>
        <v>131294.83000000002</v>
      </c>
      <c r="BM34" s="39">
        <f t="shared" si="4"/>
        <v>235292.93</v>
      </c>
    </row>
    <row r="36" spans="1:65" x14ac:dyDescent="0.25">
      <c r="A36" s="7" t="s">
        <v>186</v>
      </c>
    </row>
    <row r="37" spans="1:65" x14ac:dyDescent="0.25">
      <c r="A37" s="38" t="s">
        <v>0</v>
      </c>
      <c r="B37" s="94" t="s">
        <v>1</v>
      </c>
      <c r="C37" s="95"/>
      <c r="D37" s="94" t="s">
        <v>232</v>
      </c>
      <c r="E37" s="95"/>
      <c r="F37" s="94" t="s">
        <v>2</v>
      </c>
      <c r="G37" s="95"/>
      <c r="H37" s="94" t="s">
        <v>3</v>
      </c>
      <c r="I37" s="95"/>
      <c r="J37" s="94" t="s">
        <v>241</v>
      </c>
      <c r="K37" s="95"/>
      <c r="L37" s="94" t="s">
        <v>233</v>
      </c>
      <c r="M37" s="95"/>
      <c r="N37" s="94" t="s">
        <v>246</v>
      </c>
      <c r="O37" s="95"/>
      <c r="P37" s="94" t="s">
        <v>5</v>
      </c>
      <c r="Q37" s="95"/>
      <c r="R37" s="94" t="s">
        <v>4</v>
      </c>
      <c r="S37" s="95"/>
      <c r="T37" s="94" t="s">
        <v>6</v>
      </c>
      <c r="U37" s="95"/>
      <c r="V37" s="94" t="s">
        <v>7</v>
      </c>
      <c r="W37" s="95"/>
      <c r="X37" s="94" t="s">
        <v>8</v>
      </c>
      <c r="Y37" s="95"/>
      <c r="Z37" s="94" t="s">
        <v>9</v>
      </c>
      <c r="AA37" s="95"/>
      <c r="AB37" s="94" t="s">
        <v>240</v>
      </c>
      <c r="AC37" s="95"/>
      <c r="AD37" s="94" t="s">
        <v>10</v>
      </c>
      <c r="AE37" s="95"/>
      <c r="AF37" s="94" t="s">
        <v>11</v>
      </c>
      <c r="AG37" s="95"/>
      <c r="AH37" s="94" t="s">
        <v>234</v>
      </c>
      <c r="AI37" s="95"/>
      <c r="AJ37" s="94" t="s">
        <v>12</v>
      </c>
      <c r="AK37" s="95"/>
      <c r="AL37" s="94" t="s">
        <v>235</v>
      </c>
      <c r="AM37" s="95"/>
      <c r="AN37" s="94" t="s">
        <v>300</v>
      </c>
      <c r="AO37" s="95"/>
      <c r="AP37" s="94" t="s">
        <v>236</v>
      </c>
      <c r="AQ37" s="95"/>
      <c r="AR37" s="94" t="s">
        <v>239</v>
      </c>
      <c r="AS37" s="95"/>
      <c r="AT37" s="94" t="s">
        <v>13</v>
      </c>
      <c r="AU37" s="95"/>
      <c r="AV37" s="94" t="s">
        <v>14</v>
      </c>
      <c r="AW37" s="95"/>
      <c r="AX37" s="94" t="s">
        <v>15</v>
      </c>
      <c r="AY37" s="95"/>
      <c r="AZ37" s="94" t="s">
        <v>16</v>
      </c>
      <c r="BA37" s="95"/>
      <c r="BB37" s="94" t="s">
        <v>17</v>
      </c>
      <c r="BC37" s="95"/>
      <c r="BD37" s="94" t="s">
        <v>237</v>
      </c>
      <c r="BE37" s="95"/>
      <c r="BF37" s="94" t="s">
        <v>238</v>
      </c>
      <c r="BG37" s="95"/>
      <c r="BH37" s="94" t="s">
        <v>18</v>
      </c>
      <c r="BI37" s="95"/>
      <c r="BJ37" s="94" t="s">
        <v>19</v>
      </c>
      <c r="BK37" s="95"/>
      <c r="BL37" s="96" t="s">
        <v>20</v>
      </c>
      <c r="BM37" s="97"/>
    </row>
    <row r="38" spans="1:65" ht="30" x14ac:dyDescent="0.25">
      <c r="A38" s="38"/>
      <c r="B38" s="34" t="s">
        <v>298</v>
      </c>
      <c r="C38" s="35" t="s">
        <v>299</v>
      </c>
      <c r="D38" s="34" t="s">
        <v>298</v>
      </c>
      <c r="E38" s="35" t="s">
        <v>299</v>
      </c>
      <c r="F38" s="34" t="s">
        <v>298</v>
      </c>
      <c r="G38" s="35" t="s">
        <v>299</v>
      </c>
      <c r="H38" s="34" t="s">
        <v>298</v>
      </c>
      <c r="I38" s="35" t="s">
        <v>299</v>
      </c>
      <c r="J38" s="34" t="s">
        <v>298</v>
      </c>
      <c r="K38" s="35" t="s">
        <v>299</v>
      </c>
      <c r="L38" s="34" t="s">
        <v>298</v>
      </c>
      <c r="M38" s="35" t="s">
        <v>299</v>
      </c>
      <c r="N38" s="34" t="s">
        <v>298</v>
      </c>
      <c r="O38" s="35" t="s">
        <v>299</v>
      </c>
      <c r="P38" s="34" t="s">
        <v>298</v>
      </c>
      <c r="Q38" s="35" t="s">
        <v>299</v>
      </c>
      <c r="R38" s="34" t="s">
        <v>298</v>
      </c>
      <c r="S38" s="35" t="s">
        <v>299</v>
      </c>
      <c r="T38" s="34" t="s">
        <v>298</v>
      </c>
      <c r="U38" s="35" t="s">
        <v>299</v>
      </c>
      <c r="V38" s="34" t="s">
        <v>298</v>
      </c>
      <c r="W38" s="35" t="s">
        <v>299</v>
      </c>
      <c r="X38" s="34" t="s">
        <v>298</v>
      </c>
      <c r="Y38" s="35" t="s">
        <v>299</v>
      </c>
      <c r="Z38" s="34" t="s">
        <v>298</v>
      </c>
      <c r="AA38" s="35" t="s">
        <v>299</v>
      </c>
      <c r="AB38" s="34" t="s">
        <v>298</v>
      </c>
      <c r="AC38" s="35" t="s">
        <v>299</v>
      </c>
      <c r="AD38" s="34" t="s">
        <v>298</v>
      </c>
      <c r="AE38" s="35" t="s">
        <v>299</v>
      </c>
      <c r="AF38" s="34" t="s">
        <v>298</v>
      </c>
      <c r="AG38" s="35" t="s">
        <v>299</v>
      </c>
      <c r="AH38" s="34" t="s">
        <v>298</v>
      </c>
      <c r="AI38" s="35" t="s">
        <v>299</v>
      </c>
      <c r="AJ38" s="34" t="s">
        <v>298</v>
      </c>
      <c r="AK38" s="35" t="s">
        <v>299</v>
      </c>
      <c r="AL38" s="34" t="s">
        <v>298</v>
      </c>
      <c r="AM38" s="35" t="s">
        <v>299</v>
      </c>
      <c r="AN38" s="34" t="s">
        <v>298</v>
      </c>
      <c r="AO38" s="35" t="s">
        <v>299</v>
      </c>
      <c r="AP38" s="34" t="s">
        <v>298</v>
      </c>
      <c r="AQ38" s="35" t="s">
        <v>299</v>
      </c>
      <c r="AR38" s="34" t="s">
        <v>298</v>
      </c>
      <c r="AS38" s="35" t="s">
        <v>299</v>
      </c>
      <c r="AT38" s="34" t="s">
        <v>298</v>
      </c>
      <c r="AU38" s="35" t="s">
        <v>299</v>
      </c>
      <c r="AV38" s="34" t="s">
        <v>298</v>
      </c>
      <c r="AW38" s="35" t="s">
        <v>299</v>
      </c>
      <c r="AX38" s="34" t="s">
        <v>298</v>
      </c>
      <c r="AY38" s="35" t="s">
        <v>299</v>
      </c>
      <c r="AZ38" s="34" t="s">
        <v>298</v>
      </c>
      <c r="BA38" s="35" t="s">
        <v>299</v>
      </c>
      <c r="BB38" s="34" t="s">
        <v>298</v>
      </c>
      <c r="BC38" s="35" t="s">
        <v>299</v>
      </c>
      <c r="BD38" s="34" t="s">
        <v>298</v>
      </c>
      <c r="BE38" s="35" t="s">
        <v>299</v>
      </c>
      <c r="BF38" s="34" t="s">
        <v>298</v>
      </c>
      <c r="BG38" s="35" t="s">
        <v>299</v>
      </c>
      <c r="BH38" s="34" t="s">
        <v>298</v>
      </c>
      <c r="BI38" s="35" t="s">
        <v>299</v>
      </c>
      <c r="BJ38" s="34" t="s">
        <v>298</v>
      </c>
      <c r="BK38" s="35" t="s">
        <v>299</v>
      </c>
      <c r="BL38" s="34" t="s">
        <v>298</v>
      </c>
      <c r="BM38" s="35" t="s">
        <v>299</v>
      </c>
    </row>
    <row r="39" spans="1:65" x14ac:dyDescent="0.25">
      <c r="A39" s="24" t="s">
        <v>285</v>
      </c>
      <c r="B39" s="24">
        <v>642</v>
      </c>
      <c r="C39" s="24">
        <v>1329</v>
      </c>
      <c r="D39" s="24">
        <v>5651</v>
      </c>
      <c r="E39" s="24">
        <v>11097</v>
      </c>
      <c r="F39" s="24"/>
      <c r="G39" s="24"/>
      <c r="H39" s="24">
        <v>5214</v>
      </c>
      <c r="I39" s="24">
        <v>9963</v>
      </c>
      <c r="J39" s="24">
        <v>11833</v>
      </c>
      <c r="K39" s="24">
        <v>21567</v>
      </c>
      <c r="L39" s="24">
        <v>1534</v>
      </c>
      <c r="M39" s="24">
        <v>3127</v>
      </c>
      <c r="N39" s="24">
        <v>621</v>
      </c>
      <c r="O39" s="24">
        <v>1298</v>
      </c>
      <c r="P39" s="24"/>
      <c r="Q39" s="24"/>
      <c r="R39" s="24">
        <v>256.57</v>
      </c>
      <c r="S39" s="24">
        <v>448.52</v>
      </c>
      <c r="T39" s="24">
        <v>854.56</v>
      </c>
      <c r="U39" s="24">
        <v>1612.83</v>
      </c>
      <c r="V39" s="24">
        <v>13433</v>
      </c>
      <c r="W39" s="24">
        <v>25102</v>
      </c>
      <c r="X39" s="24">
        <v>8170</v>
      </c>
      <c r="Y39" s="24">
        <v>16549</v>
      </c>
      <c r="Z39" s="24">
        <v>2838</v>
      </c>
      <c r="AA39" s="24">
        <v>4932</v>
      </c>
      <c r="AB39" s="24">
        <v>957</v>
      </c>
      <c r="AC39" s="24">
        <v>1318</v>
      </c>
      <c r="AD39" s="24">
        <v>549</v>
      </c>
      <c r="AE39" s="24">
        <v>1234</v>
      </c>
      <c r="AF39" s="47">
        <v>271</v>
      </c>
      <c r="AG39" s="24">
        <v>545</v>
      </c>
      <c r="AH39" s="24">
        <v>2870.37</v>
      </c>
      <c r="AI39" s="24">
        <v>5155.46</v>
      </c>
      <c r="AJ39" s="24"/>
      <c r="AK39" s="24"/>
      <c r="AL39" s="24">
        <v>-1</v>
      </c>
      <c r="AM39" s="24">
        <v>32</v>
      </c>
      <c r="AN39" s="24">
        <v>9351</v>
      </c>
      <c r="AO39" s="24">
        <v>17098</v>
      </c>
      <c r="AP39" s="24"/>
      <c r="AQ39" s="24"/>
      <c r="AR39" s="24">
        <v>2110</v>
      </c>
      <c r="AS39" s="24">
        <v>4628</v>
      </c>
      <c r="AT39" s="24">
        <v>873</v>
      </c>
      <c r="AU39" s="24">
        <v>1903</v>
      </c>
      <c r="AV39" s="24">
        <v>5399</v>
      </c>
      <c r="AW39" s="24">
        <v>9758</v>
      </c>
      <c r="AX39" s="24"/>
      <c r="AY39" s="24"/>
      <c r="AZ39" s="24">
        <v>40598</v>
      </c>
      <c r="BA39" s="24">
        <v>71540</v>
      </c>
      <c r="BB39" s="24">
        <v>4720</v>
      </c>
      <c r="BC39" s="24">
        <v>8794</v>
      </c>
      <c r="BD39" s="24"/>
      <c r="BE39" s="24"/>
      <c r="BF39" s="24">
        <v>8548</v>
      </c>
      <c r="BG39" s="24">
        <v>16097</v>
      </c>
      <c r="BH39" s="24"/>
      <c r="BI39" s="24"/>
      <c r="BJ39" s="24">
        <v>709</v>
      </c>
      <c r="BK39" s="24">
        <v>1764</v>
      </c>
      <c r="BL39" s="37">
        <f t="shared" ref="BL39:BM45" si="5">SUM(B39+D39+F39+H39+J39+L39+N39+P39+R39+T39+V39+X39+Z39+AB39+AD39+AF39+AH39+AJ39+AL39+AN39+AP39+AR39+AT39+AV39+AX39+AZ39+BB39+BD39+BF39+BH39+BJ39)</f>
        <v>128001.5</v>
      </c>
      <c r="BM39" s="37">
        <f t="shared" si="5"/>
        <v>236891.81</v>
      </c>
    </row>
    <row r="40" spans="1:65" x14ac:dyDescent="0.25">
      <c r="A40" s="24" t="s">
        <v>286</v>
      </c>
      <c r="B40" s="24">
        <v>206</v>
      </c>
      <c r="C40" s="24">
        <v>294</v>
      </c>
      <c r="D40" s="24">
        <v>798</v>
      </c>
      <c r="E40" s="24">
        <v>1184</v>
      </c>
      <c r="F40" s="24"/>
      <c r="G40" s="24"/>
      <c r="H40" s="24">
        <v>142</v>
      </c>
      <c r="I40" s="24">
        <v>260</v>
      </c>
      <c r="J40" s="24">
        <v>5339</v>
      </c>
      <c r="K40" s="24">
        <v>8359</v>
      </c>
      <c r="L40" s="24">
        <v>116</v>
      </c>
      <c r="M40" s="24">
        <v>12</v>
      </c>
      <c r="N40" s="24">
        <v>265</v>
      </c>
      <c r="O40" s="24">
        <v>341</v>
      </c>
      <c r="P40" s="24"/>
      <c r="Q40" s="24"/>
      <c r="R40" s="24">
        <v>9.06</v>
      </c>
      <c r="S40" s="24">
        <v>11.11</v>
      </c>
      <c r="T40" s="24">
        <v>0.6</v>
      </c>
      <c r="U40" s="24">
        <v>25</v>
      </c>
      <c r="V40" s="24">
        <v>2108</v>
      </c>
      <c r="W40" s="24">
        <v>3912</v>
      </c>
      <c r="X40" s="24">
        <v>713</v>
      </c>
      <c r="Y40" s="24">
        <v>1290</v>
      </c>
      <c r="Z40" s="24">
        <v>843</v>
      </c>
      <c r="AA40" s="24">
        <v>1466</v>
      </c>
      <c r="AB40" s="24">
        <v>21</v>
      </c>
      <c r="AC40" s="24">
        <v>33</v>
      </c>
      <c r="AD40" s="24">
        <v>179</v>
      </c>
      <c r="AE40" s="24">
        <v>429</v>
      </c>
      <c r="AF40" s="47">
        <v>12</v>
      </c>
      <c r="AG40" s="24">
        <v>21</v>
      </c>
      <c r="AH40" s="24">
        <v>660.72</v>
      </c>
      <c r="AI40" s="24">
        <v>849.75</v>
      </c>
      <c r="AJ40" s="24"/>
      <c r="AK40" s="24"/>
      <c r="AL40" s="24"/>
      <c r="AM40" s="24"/>
      <c r="AN40" s="24">
        <v>807</v>
      </c>
      <c r="AO40" s="24">
        <v>3036</v>
      </c>
      <c r="AP40" s="24"/>
      <c r="AQ40" s="24"/>
      <c r="AR40" s="24">
        <v>88</v>
      </c>
      <c r="AS40" s="24">
        <v>94</v>
      </c>
      <c r="AT40" s="24">
        <v>83</v>
      </c>
      <c r="AU40" s="24">
        <v>179</v>
      </c>
      <c r="AV40" s="24">
        <v>267</v>
      </c>
      <c r="AW40" s="24">
        <v>638</v>
      </c>
      <c r="AX40" s="24"/>
      <c r="AY40" s="24"/>
      <c r="AZ40" s="24">
        <v>1503</v>
      </c>
      <c r="BA40" s="24">
        <v>4757</v>
      </c>
      <c r="BB40" s="24">
        <v>588</v>
      </c>
      <c r="BC40" s="24">
        <v>879</v>
      </c>
      <c r="BD40" s="24"/>
      <c r="BE40" s="24"/>
      <c r="BF40" s="24">
        <v>1304</v>
      </c>
      <c r="BG40" s="24">
        <v>1613</v>
      </c>
      <c r="BH40" s="24"/>
      <c r="BI40" s="24"/>
      <c r="BJ40" s="24">
        <v>9</v>
      </c>
      <c r="BK40" s="24">
        <v>16</v>
      </c>
      <c r="BL40" s="37">
        <f t="shared" si="5"/>
        <v>16061.38</v>
      </c>
      <c r="BM40" s="37">
        <f t="shared" si="5"/>
        <v>29698.86</v>
      </c>
    </row>
    <row r="41" spans="1:65" x14ac:dyDescent="0.25">
      <c r="A41" s="24" t="s">
        <v>287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47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>
        <v>0</v>
      </c>
      <c r="BG41" s="24">
        <v>0</v>
      </c>
      <c r="BH41" s="24"/>
      <c r="BI41" s="24"/>
      <c r="BJ41" s="24"/>
      <c r="BK41" s="24"/>
      <c r="BL41" s="37">
        <f t="shared" si="5"/>
        <v>0</v>
      </c>
      <c r="BM41" s="37">
        <f t="shared" si="5"/>
        <v>0</v>
      </c>
    </row>
    <row r="42" spans="1:65" s="4" customFormat="1" x14ac:dyDescent="0.25">
      <c r="A42" s="26" t="s">
        <v>288</v>
      </c>
      <c r="B42" s="26">
        <v>848</v>
      </c>
      <c r="C42" s="26">
        <v>1623</v>
      </c>
      <c r="D42" s="26">
        <v>6449</v>
      </c>
      <c r="E42" s="26">
        <v>12281</v>
      </c>
      <c r="F42" s="26"/>
      <c r="G42" s="26"/>
      <c r="H42" s="26">
        <v>5356</v>
      </c>
      <c r="I42" s="26">
        <v>10224</v>
      </c>
      <c r="J42" s="26">
        <v>17172</v>
      </c>
      <c r="K42" s="26">
        <v>29926</v>
      </c>
      <c r="L42" s="26">
        <v>1650</v>
      </c>
      <c r="M42" s="26">
        <v>3139</v>
      </c>
      <c r="N42" s="26">
        <v>886</v>
      </c>
      <c r="O42" s="26">
        <v>1639</v>
      </c>
      <c r="P42" s="26"/>
      <c r="Q42" s="26"/>
      <c r="R42" s="26">
        <v>265.63</v>
      </c>
      <c r="S42" s="26">
        <v>459.63</v>
      </c>
      <c r="T42" s="26">
        <v>855.16</v>
      </c>
      <c r="U42" s="26">
        <v>1637.83</v>
      </c>
      <c r="V42" s="26">
        <v>15541</v>
      </c>
      <c r="W42" s="26">
        <v>29014</v>
      </c>
      <c r="X42" s="26">
        <v>8883</v>
      </c>
      <c r="Y42" s="26">
        <v>17839</v>
      </c>
      <c r="Z42" s="26">
        <v>3681</v>
      </c>
      <c r="AA42" s="26">
        <v>6398</v>
      </c>
      <c r="AB42" s="26">
        <v>978</v>
      </c>
      <c r="AC42" s="26">
        <v>1352</v>
      </c>
      <c r="AD42" s="26">
        <v>727</v>
      </c>
      <c r="AE42" s="26">
        <v>1663</v>
      </c>
      <c r="AF42" s="26">
        <v>283</v>
      </c>
      <c r="AG42" s="26">
        <v>566</v>
      </c>
      <c r="AH42" s="26">
        <v>3531.09</v>
      </c>
      <c r="AI42" s="26">
        <v>6005.21</v>
      </c>
      <c r="AJ42" s="26">
        <v>8381</v>
      </c>
      <c r="AK42" s="26">
        <v>16830</v>
      </c>
      <c r="AL42" s="26">
        <v>-1</v>
      </c>
      <c r="AM42" s="26">
        <v>32</v>
      </c>
      <c r="AN42" s="26">
        <v>10157</v>
      </c>
      <c r="AO42" s="26">
        <v>20134</v>
      </c>
      <c r="AP42" s="26"/>
      <c r="AQ42" s="26"/>
      <c r="AR42" s="26">
        <v>2198</v>
      </c>
      <c r="AS42" s="26">
        <v>4722</v>
      </c>
      <c r="AT42" s="26">
        <v>955</v>
      </c>
      <c r="AU42" s="26">
        <v>2082</v>
      </c>
      <c r="AV42" s="26">
        <v>5667</v>
      </c>
      <c r="AW42" s="26">
        <v>10395</v>
      </c>
      <c r="AX42" s="26"/>
      <c r="AY42" s="26"/>
      <c r="AZ42" s="26">
        <v>42100</v>
      </c>
      <c r="BA42" s="26">
        <v>76297</v>
      </c>
      <c r="BB42" s="26">
        <v>5307</v>
      </c>
      <c r="BC42" s="26">
        <v>9673</v>
      </c>
      <c r="BD42" s="26">
        <v>18968</v>
      </c>
      <c r="BE42" s="26">
        <v>41042</v>
      </c>
      <c r="BF42" s="26">
        <v>9852</v>
      </c>
      <c r="BG42" s="26">
        <v>17710</v>
      </c>
      <c r="BH42" s="26">
        <v>7003</v>
      </c>
      <c r="BI42" s="26">
        <v>14133</v>
      </c>
      <c r="BJ42" s="26">
        <v>718</v>
      </c>
      <c r="BK42" s="26">
        <v>1780</v>
      </c>
      <c r="BL42" s="39">
        <f t="shared" si="5"/>
        <v>178410.88</v>
      </c>
      <c r="BM42" s="39">
        <f t="shared" si="5"/>
        <v>338596.67</v>
      </c>
    </row>
    <row r="43" spans="1:65" x14ac:dyDescent="0.25">
      <c r="A43" s="24" t="s">
        <v>289</v>
      </c>
      <c r="B43" s="24"/>
      <c r="C43" s="24"/>
      <c r="D43" s="24"/>
      <c r="E43" s="24"/>
      <c r="F43" s="24"/>
      <c r="G43" s="24"/>
      <c r="H43" s="24"/>
      <c r="I43" s="24"/>
      <c r="J43" s="24">
        <v>22</v>
      </c>
      <c r="K43" s="24">
        <v>55</v>
      </c>
      <c r="L43" s="24"/>
      <c r="M43" s="24"/>
      <c r="N43" s="24">
        <v>64</v>
      </c>
      <c r="O43" s="24">
        <v>125</v>
      </c>
      <c r="P43" s="24"/>
      <c r="Q43" s="24"/>
      <c r="R43" s="24">
        <v>-0.17</v>
      </c>
      <c r="S43" s="24">
        <v>18.22</v>
      </c>
      <c r="T43" s="24"/>
      <c r="U43" s="24"/>
      <c r="V43" s="24"/>
      <c r="W43" s="24"/>
      <c r="X43" s="24">
        <v>393</v>
      </c>
      <c r="Y43" s="24">
        <v>919</v>
      </c>
      <c r="Z43" s="24">
        <v>83</v>
      </c>
      <c r="AA43" s="24">
        <v>83</v>
      </c>
      <c r="AB43" s="24"/>
      <c r="AC43" s="24"/>
      <c r="AD43" s="24"/>
      <c r="AE43" s="24"/>
      <c r="AF43" s="47"/>
      <c r="AG43" s="24"/>
      <c r="AH43" s="24"/>
      <c r="AI43" s="24"/>
      <c r="AJ43" s="24">
        <v>190</v>
      </c>
      <c r="AK43" s="24">
        <v>190</v>
      </c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>
        <v>36</v>
      </c>
      <c r="AW43" s="24">
        <v>93</v>
      </c>
      <c r="AX43" s="24"/>
      <c r="AY43" s="24"/>
      <c r="AZ43" s="24"/>
      <c r="BA43" s="24"/>
      <c r="BB43" s="24">
        <v>3</v>
      </c>
      <c r="BC43" s="24">
        <v>3</v>
      </c>
      <c r="BD43" s="24">
        <v>375</v>
      </c>
      <c r="BE43" s="24">
        <v>548</v>
      </c>
      <c r="BF43" s="24">
        <v>492</v>
      </c>
      <c r="BG43" s="24">
        <v>583</v>
      </c>
      <c r="BH43" s="24"/>
      <c r="BI43" s="24"/>
      <c r="BJ43" s="24">
        <v>211</v>
      </c>
      <c r="BK43" s="24">
        <v>211</v>
      </c>
      <c r="BL43" s="37">
        <f t="shared" si="5"/>
        <v>1868.83</v>
      </c>
      <c r="BM43" s="37">
        <f t="shared" si="5"/>
        <v>2828.2200000000003</v>
      </c>
    </row>
    <row r="44" spans="1:65" x14ac:dyDescent="0.25">
      <c r="A44" s="24" t="s">
        <v>290</v>
      </c>
      <c r="B44" s="24">
        <v>74</v>
      </c>
      <c r="C44" s="24">
        <v>141</v>
      </c>
      <c r="D44" s="24">
        <v>4985</v>
      </c>
      <c r="E44" s="24">
        <v>9005</v>
      </c>
      <c r="F44" s="24"/>
      <c r="G44" s="24"/>
      <c r="H44" s="24">
        <v>-6842</v>
      </c>
      <c r="I44" s="24">
        <v>-9881</v>
      </c>
      <c r="J44" s="24">
        <v>6964</v>
      </c>
      <c r="K44" s="24">
        <v>13253</v>
      </c>
      <c r="L44" s="24">
        <v>35</v>
      </c>
      <c r="M44" s="24">
        <v>558</v>
      </c>
      <c r="N44" s="24">
        <v>-71</v>
      </c>
      <c r="O44" s="24">
        <v>-176</v>
      </c>
      <c r="P44" s="24"/>
      <c r="Q44" s="24"/>
      <c r="R44" s="24">
        <v>-29.37</v>
      </c>
      <c r="S44" s="24">
        <v>36.35</v>
      </c>
      <c r="T44" s="24">
        <v>916.74</v>
      </c>
      <c r="U44" s="24">
        <v>1296.49</v>
      </c>
      <c r="V44" s="24">
        <v>-15534</v>
      </c>
      <c r="W44" s="24">
        <v>-28882</v>
      </c>
      <c r="X44" s="24">
        <v>8767</v>
      </c>
      <c r="Y44" s="24">
        <v>16995</v>
      </c>
      <c r="Z44" s="24">
        <v>489</v>
      </c>
      <c r="AA44" s="24">
        <v>586</v>
      </c>
      <c r="AB44" s="24">
        <v>883</v>
      </c>
      <c r="AC44" s="24">
        <v>1298</v>
      </c>
      <c r="AD44" s="24">
        <v>20</v>
      </c>
      <c r="AE44" s="24">
        <v>85</v>
      </c>
      <c r="AF44" s="47">
        <v>-101</v>
      </c>
      <c r="AG44" s="24">
        <v>-137</v>
      </c>
      <c r="AH44" s="24">
        <v>149.15</v>
      </c>
      <c r="AI44" s="24">
        <v>285.25</v>
      </c>
      <c r="AJ44" s="24">
        <v>3776</v>
      </c>
      <c r="AK44" s="24">
        <v>5008</v>
      </c>
      <c r="AL44" s="24">
        <v>-27</v>
      </c>
      <c r="AM44" s="24">
        <v>-32</v>
      </c>
      <c r="AN44" s="24">
        <v>8443</v>
      </c>
      <c r="AO44" s="24">
        <v>14874</v>
      </c>
      <c r="AP44" s="24"/>
      <c r="AQ44" s="24"/>
      <c r="AR44" s="24">
        <v>2443</v>
      </c>
      <c r="AS44" s="24">
        <v>4713</v>
      </c>
      <c r="AT44" s="24">
        <v>-601</v>
      </c>
      <c r="AU44" s="24">
        <v>-255</v>
      </c>
      <c r="AV44" s="24">
        <v>609</v>
      </c>
      <c r="AW44" s="24">
        <v>826</v>
      </c>
      <c r="AX44" s="24"/>
      <c r="AY44" s="24">
        <v>1</v>
      </c>
      <c r="AZ44" s="24">
        <v>2851</v>
      </c>
      <c r="BA44" s="24">
        <v>5164</v>
      </c>
      <c r="BB44" s="24">
        <v>2763</v>
      </c>
      <c r="BC44" s="24">
        <v>5630</v>
      </c>
      <c r="BD44" s="24">
        <v>2925</v>
      </c>
      <c r="BE44" s="24">
        <v>6473</v>
      </c>
      <c r="BF44" s="24">
        <v>1071</v>
      </c>
      <c r="BG44" s="24">
        <v>1771</v>
      </c>
      <c r="BH44" s="24">
        <v>817</v>
      </c>
      <c r="BI44" s="24">
        <v>1674</v>
      </c>
      <c r="BJ44" s="24">
        <v>42</v>
      </c>
      <c r="BK44" s="24">
        <v>84</v>
      </c>
      <c r="BL44" s="37">
        <f t="shared" si="5"/>
        <v>25817.519999999997</v>
      </c>
      <c r="BM44" s="37">
        <f t="shared" si="5"/>
        <v>50394.09</v>
      </c>
    </row>
    <row r="45" spans="1:65" s="4" customFormat="1" x14ac:dyDescent="0.25">
      <c r="A45" s="26" t="s">
        <v>190</v>
      </c>
      <c r="B45" s="26">
        <v>774</v>
      </c>
      <c r="C45" s="26">
        <v>1482</v>
      </c>
      <c r="D45" s="26">
        <v>1464</v>
      </c>
      <c r="E45" s="26">
        <v>3276</v>
      </c>
      <c r="F45" s="26"/>
      <c r="G45" s="26"/>
      <c r="H45" s="26">
        <v>-1486</v>
      </c>
      <c r="I45" s="26">
        <v>343</v>
      </c>
      <c r="J45" s="26">
        <v>10230</v>
      </c>
      <c r="K45" s="26">
        <v>16728</v>
      </c>
      <c r="L45" s="26">
        <v>1615</v>
      </c>
      <c r="M45" s="26">
        <v>2581</v>
      </c>
      <c r="N45" s="26">
        <v>879</v>
      </c>
      <c r="O45" s="26">
        <v>1588</v>
      </c>
      <c r="P45" s="26"/>
      <c r="Q45" s="26"/>
      <c r="R45" s="26">
        <v>294.83</v>
      </c>
      <c r="S45" s="26">
        <v>441.5</v>
      </c>
      <c r="T45" s="26">
        <v>-61.59</v>
      </c>
      <c r="U45" s="26">
        <v>341.34</v>
      </c>
      <c r="V45" s="26">
        <v>8</v>
      </c>
      <c r="W45" s="26">
        <v>131</v>
      </c>
      <c r="X45" s="26">
        <v>509</v>
      </c>
      <c r="Y45" s="26">
        <v>1763</v>
      </c>
      <c r="Z45" s="26">
        <v>3275</v>
      </c>
      <c r="AA45" s="26">
        <v>5895</v>
      </c>
      <c r="AB45" s="26">
        <v>95</v>
      </c>
      <c r="AC45" s="26">
        <v>54</v>
      </c>
      <c r="AD45" s="26">
        <v>708</v>
      </c>
      <c r="AE45" s="26">
        <v>1579</v>
      </c>
      <c r="AF45" s="26">
        <v>182</v>
      </c>
      <c r="AG45" s="26">
        <v>429</v>
      </c>
      <c r="AH45" s="26">
        <v>3381.94</v>
      </c>
      <c r="AI45" s="26">
        <v>5719.96</v>
      </c>
      <c r="AJ45" s="26">
        <v>4795</v>
      </c>
      <c r="AK45" s="26">
        <v>12012</v>
      </c>
      <c r="AL45" s="26">
        <v>-28</v>
      </c>
      <c r="AM45" s="26"/>
      <c r="AN45" s="26">
        <v>1715</v>
      </c>
      <c r="AO45" s="26">
        <v>5260</v>
      </c>
      <c r="AP45" s="26"/>
      <c r="AQ45" s="26"/>
      <c r="AR45" s="26">
        <v>-245</v>
      </c>
      <c r="AS45" s="26">
        <v>9</v>
      </c>
      <c r="AT45" s="26">
        <v>1556</v>
      </c>
      <c r="AU45" s="26">
        <v>2337</v>
      </c>
      <c r="AV45" s="26">
        <v>5094</v>
      </c>
      <c r="AW45" s="26">
        <v>9662</v>
      </c>
      <c r="AX45" s="26"/>
      <c r="AY45" s="26">
        <v>-1</v>
      </c>
      <c r="AZ45" s="26">
        <v>39249</v>
      </c>
      <c r="BA45" s="26">
        <v>71133</v>
      </c>
      <c r="BB45" s="26">
        <v>2547</v>
      </c>
      <c r="BC45" s="26">
        <v>4046</v>
      </c>
      <c r="BD45" s="26">
        <v>16418</v>
      </c>
      <c r="BE45" s="26">
        <v>35117</v>
      </c>
      <c r="BF45" s="26">
        <v>9272</v>
      </c>
      <c r="BG45" s="26">
        <v>16521</v>
      </c>
      <c r="BH45" s="26">
        <v>6186</v>
      </c>
      <c r="BI45" s="26">
        <v>12459</v>
      </c>
      <c r="BJ45" s="24">
        <v>887</v>
      </c>
      <c r="BK45" s="26">
        <v>1907</v>
      </c>
      <c r="BL45" s="39">
        <f t="shared" si="5"/>
        <v>109314.18</v>
      </c>
      <c r="BM45" s="39">
        <f t="shared" si="5"/>
        <v>212813.8</v>
      </c>
    </row>
    <row r="47" spans="1:65" x14ac:dyDescent="0.25">
      <c r="A47" s="7" t="s">
        <v>187</v>
      </c>
    </row>
    <row r="48" spans="1:65" x14ac:dyDescent="0.25">
      <c r="A48" s="38" t="s">
        <v>0</v>
      </c>
      <c r="B48" s="94" t="s">
        <v>1</v>
      </c>
      <c r="C48" s="95"/>
      <c r="D48" s="94" t="s">
        <v>232</v>
      </c>
      <c r="E48" s="95"/>
      <c r="F48" s="94" t="s">
        <v>2</v>
      </c>
      <c r="G48" s="95"/>
      <c r="H48" s="94" t="s">
        <v>3</v>
      </c>
      <c r="I48" s="95"/>
      <c r="J48" s="94" t="s">
        <v>241</v>
      </c>
      <c r="K48" s="95"/>
      <c r="L48" s="94" t="s">
        <v>233</v>
      </c>
      <c r="M48" s="95"/>
      <c r="N48" s="94" t="s">
        <v>246</v>
      </c>
      <c r="O48" s="95"/>
      <c r="P48" s="94" t="s">
        <v>5</v>
      </c>
      <c r="Q48" s="95"/>
      <c r="R48" s="94" t="s">
        <v>4</v>
      </c>
      <c r="S48" s="95"/>
      <c r="T48" s="94" t="s">
        <v>6</v>
      </c>
      <c r="U48" s="95"/>
      <c r="V48" s="94" t="s">
        <v>7</v>
      </c>
      <c r="W48" s="95"/>
      <c r="X48" s="94" t="s">
        <v>8</v>
      </c>
      <c r="Y48" s="95"/>
      <c r="Z48" s="94" t="s">
        <v>9</v>
      </c>
      <c r="AA48" s="95"/>
      <c r="AB48" s="94" t="s">
        <v>240</v>
      </c>
      <c r="AC48" s="95"/>
      <c r="AD48" s="94" t="s">
        <v>10</v>
      </c>
      <c r="AE48" s="95"/>
      <c r="AF48" s="94" t="s">
        <v>11</v>
      </c>
      <c r="AG48" s="95"/>
      <c r="AH48" s="94" t="s">
        <v>234</v>
      </c>
      <c r="AI48" s="95"/>
      <c r="AJ48" s="94" t="s">
        <v>12</v>
      </c>
      <c r="AK48" s="95"/>
      <c r="AL48" s="94" t="s">
        <v>235</v>
      </c>
      <c r="AM48" s="95"/>
      <c r="AN48" s="94" t="s">
        <v>300</v>
      </c>
      <c r="AO48" s="95"/>
      <c r="AP48" s="94" t="s">
        <v>236</v>
      </c>
      <c r="AQ48" s="95"/>
      <c r="AR48" s="94" t="s">
        <v>239</v>
      </c>
      <c r="AS48" s="95"/>
      <c r="AT48" s="94" t="s">
        <v>13</v>
      </c>
      <c r="AU48" s="95"/>
      <c r="AV48" s="94" t="s">
        <v>14</v>
      </c>
      <c r="AW48" s="95"/>
      <c r="AX48" s="94" t="s">
        <v>15</v>
      </c>
      <c r="AY48" s="95"/>
      <c r="AZ48" s="94" t="s">
        <v>16</v>
      </c>
      <c r="BA48" s="95"/>
      <c r="BB48" s="94" t="s">
        <v>17</v>
      </c>
      <c r="BC48" s="95"/>
      <c r="BD48" s="94" t="s">
        <v>237</v>
      </c>
      <c r="BE48" s="95"/>
      <c r="BF48" s="94" t="s">
        <v>238</v>
      </c>
      <c r="BG48" s="95"/>
      <c r="BH48" s="94" t="s">
        <v>18</v>
      </c>
      <c r="BI48" s="95"/>
      <c r="BJ48" s="94" t="s">
        <v>19</v>
      </c>
      <c r="BK48" s="95"/>
      <c r="BL48" s="96" t="s">
        <v>20</v>
      </c>
      <c r="BM48" s="97"/>
    </row>
    <row r="49" spans="1:65" ht="30" x14ac:dyDescent="0.25">
      <c r="A49" s="38"/>
      <c r="B49" s="34" t="s">
        <v>298</v>
      </c>
      <c r="C49" s="35" t="s">
        <v>299</v>
      </c>
      <c r="D49" s="34" t="s">
        <v>298</v>
      </c>
      <c r="E49" s="35" t="s">
        <v>299</v>
      </c>
      <c r="F49" s="34" t="s">
        <v>298</v>
      </c>
      <c r="G49" s="35" t="s">
        <v>299</v>
      </c>
      <c r="H49" s="34" t="s">
        <v>298</v>
      </c>
      <c r="I49" s="35" t="s">
        <v>299</v>
      </c>
      <c r="J49" s="34" t="s">
        <v>298</v>
      </c>
      <c r="K49" s="35" t="s">
        <v>299</v>
      </c>
      <c r="L49" s="34" t="s">
        <v>298</v>
      </c>
      <c r="M49" s="35" t="s">
        <v>299</v>
      </c>
      <c r="N49" s="34" t="s">
        <v>298</v>
      </c>
      <c r="O49" s="35" t="s">
        <v>299</v>
      </c>
      <c r="P49" s="34" t="s">
        <v>298</v>
      </c>
      <c r="Q49" s="35" t="s">
        <v>299</v>
      </c>
      <c r="R49" s="34" t="s">
        <v>298</v>
      </c>
      <c r="S49" s="35" t="s">
        <v>299</v>
      </c>
      <c r="T49" s="34" t="s">
        <v>298</v>
      </c>
      <c r="U49" s="35" t="s">
        <v>299</v>
      </c>
      <c r="V49" s="34" t="s">
        <v>298</v>
      </c>
      <c r="W49" s="35" t="s">
        <v>299</v>
      </c>
      <c r="X49" s="34" t="s">
        <v>298</v>
      </c>
      <c r="Y49" s="35" t="s">
        <v>299</v>
      </c>
      <c r="Z49" s="34" t="s">
        <v>298</v>
      </c>
      <c r="AA49" s="35" t="s">
        <v>299</v>
      </c>
      <c r="AB49" s="34" t="s">
        <v>298</v>
      </c>
      <c r="AC49" s="35" t="s">
        <v>299</v>
      </c>
      <c r="AD49" s="34" t="s">
        <v>298</v>
      </c>
      <c r="AE49" s="35" t="s">
        <v>299</v>
      </c>
      <c r="AF49" s="34" t="s">
        <v>298</v>
      </c>
      <c r="AG49" s="35" t="s">
        <v>299</v>
      </c>
      <c r="AH49" s="34" t="s">
        <v>298</v>
      </c>
      <c r="AI49" s="35" t="s">
        <v>299</v>
      </c>
      <c r="AJ49" s="34" t="s">
        <v>298</v>
      </c>
      <c r="AK49" s="35" t="s">
        <v>299</v>
      </c>
      <c r="AL49" s="34" t="s">
        <v>298</v>
      </c>
      <c r="AM49" s="35" t="s">
        <v>299</v>
      </c>
      <c r="AN49" s="34" t="s">
        <v>298</v>
      </c>
      <c r="AO49" s="35" t="s">
        <v>299</v>
      </c>
      <c r="AP49" s="34" t="s">
        <v>298</v>
      </c>
      <c r="AQ49" s="35" t="s">
        <v>299</v>
      </c>
      <c r="AR49" s="34" t="s">
        <v>298</v>
      </c>
      <c r="AS49" s="35" t="s">
        <v>299</v>
      </c>
      <c r="AT49" s="34" t="s">
        <v>298</v>
      </c>
      <c r="AU49" s="35" t="s">
        <v>299</v>
      </c>
      <c r="AV49" s="34" t="s">
        <v>298</v>
      </c>
      <c r="AW49" s="35" t="s">
        <v>299</v>
      </c>
      <c r="AX49" s="34" t="s">
        <v>298</v>
      </c>
      <c r="AY49" s="35" t="s">
        <v>299</v>
      </c>
      <c r="AZ49" s="34" t="s">
        <v>298</v>
      </c>
      <c r="BA49" s="35" t="s">
        <v>299</v>
      </c>
      <c r="BB49" s="34" t="s">
        <v>298</v>
      </c>
      <c r="BC49" s="35" t="s">
        <v>299</v>
      </c>
      <c r="BD49" s="34" t="s">
        <v>298</v>
      </c>
      <c r="BE49" s="35" t="s">
        <v>299</v>
      </c>
      <c r="BF49" s="34" t="s">
        <v>298</v>
      </c>
      <c r="BG49" s="35" t="s">
        <v>299</v>
      </c>
      <c r="BH49" s="34" t="s">
        <v>298</v>
      </c>
      <c r="BI49" s="35" t="s">
        <v>299</v>
      </c>
      <c r="BJ49" s="34" t="s">
        <v>298</v>
      </c>
      <c r="BK49" s="35" t="s">
        <v>299</v>
      </c>
      <c r="BL49" s="34" t="s">
        <v>298</v>
      </c>
      <c r="BM49" s="35" t="s">
        <v>299</v>
      </c>
    </row>
    <row r="50" spans="1:65" x14ac:dyDescent="0.25">
      <c r="A50" s="24" t="s">
        <v>285</v>
      </c>
      <c r="B50" s="24">
        <v>8</v>
      </c>
      <c r="C50" s="24">
        <v>17</v>
      </c>
      <c r="D50" s="24">
        <v>409</v>
      </c>
      <c r="E50" s="24">
        <v>840</v>
      </c>
      <c r="F50" s="24"/>
      <c r="G50" s="24"/>
      <c r="H50" s="24">
        <v>852</v>
      </c>
      <c r="I50" s="24">
        <v>1387</v>
      </c>
      <c r="J50" s="24">
        <v>1073</v>
      </c>
      <c r="K50" s="24">
        <v>2089</v>
      </c>
      <c r="L50" s="24">
        <v>940</v>
      </c>
      <c r="M50" s="24">
        <v>2206</v>
      </c>
      <c r="N50" s="24">
        <v>84</v>
      </c>
      <c r="O50" s="24">
        <v>203</v>
      </c>
      <c r="P50" s="24"/>
      <c r="Q50" s="24"/>
      <c r="R50" s="24">
        <v>30.96</v>
      </c>
      <c r="S50" s="24">
        <v>47.41</v>
      </c>
      <c r="T50" s="24">
        <v>252.76</v>
      </c>
      <c r="U50" s="24">
        <v>472.97</v>
      </c>
      <c r="V50" s="24">
        <v>2113</v>
      </c>
      <c r="W50" s="24">
        <v>4070</v>
      </c>
      <c r="X50" s="24">
        <v>836</v>
      </c>
      <c r="Y50" s="24">
        <v>1699</v>
      </c>
      <c r="Z50" s="24">
        <v>343</v>
      </c>
      <c r="AA50" s="24">
        <v>655</v>
      </c>
      <c r="AB50" s="24">
        <v>199</v>
      </c>
      <c r="AC50" s="24">
        <v>208</v>
      </c>
      <c r="AD50" s="24">
        <v>35</v>
      </c>
      <c r="AE50" s="24">
        <v>80</v>
      </c>
      <c r="AF50" s="47">
        <v>10</v>
      </c>
      <c r="AG50" s="24">
        <v>23</v>
      </c>
      <c r="AH50" s="24">
        <v>101.01</v>
      </c>
      <c r="AI50" s="24">
        <v>161.86000000000001</v>
      </c>
      <c r="AJ50" s="24"/>
      <c r="AK50" s="24"/>
      <c r="AL50" s="24">
        <v>-2</v>
      </c>
      <c r="AM50" s="24">
        <v>1</v>
      </c>
      <c r="AN50" s="24">
        <v>248</v>
      </c>
      <c r="AO50" s="24">
        <v>468</v>
      </c>
      <c r="AP50" s="24">
        <v>1</v>
      </c>
      <c r="AQ50" s="24">
        <v>2</v>
      </c>
      <c r="AR50" s="24">
        <v>549</v>
      </c>
      <c r="AS50" s="24">
        <v>1056</v>
      </c>
      <c r="AT50" s="24">
        <v>120</v>
      </c>
      <c r="AU50" s="24">
        <v>242</v>
      </c>
      <c r="AV50" s="24">
        <v>2839</v>
      </c>
      <c r="AW50" s="24">
        <v>4509</v>
      </c>
      <c r="AX50" s="24">
        <v>156</v>
      </c>
      <c r="AY50" s="24">
        <v>225</v>
      </c>
      <c r="AZ50" s="24">
        <v>628</v>
      </c>
      <c r="BA50" s="24">
        <v>1103</v>
      </c>
      <c r="BB50" s="24">
        <v>997</v>
      </c>
      <c r="BC50" s="24">
        <v>1294</v>
      </c>
      <c r="BD50" s="24"/>
      <c r="BE50" s="24"/>
      <c r="BF50" s="24">
        <v>1740</v>
      </c>
      <c r="BG50" s="24">
        <v>2023</v>
      </c>
      <c r="BH50" s="24"/>
      <c r="BI50" s="24"/>
      <c r="BJ50" s="24">
        <v>146</v>
      </c>
      <c r="BK50" s="24">
        <v>714</v>
      </c>
      <c r="BL50" s="37">
        <f t="shared" ref="BL50:BM56" si="6">SUM(B50+D50+F50+H50+J50+L50+N50+P50+R50+T50+V50+X50+Z50+AB50+AD50+AF50+AH50+AJ50+AL50+AN50+AP50+AR50+AT50+AV50+AX50+AZ50+BB50+BD50+BF50+BH50+BJ50)</f>
        <v>14708.73</v>
      </c>
      <c r="BM50" s="37">
        <f t="shared" si="6"/>
        <v>25796.240000000002</v>
      </c>
    </row>
    <row r="51" spans="1:65" x14ac:dyDescent="0.25">
      <c r="A51" s="24" t="s">
        <v>286</v>
      </c>
      <c r="B51" s="24">
        <v>1</v>
      </c>
      <c r="C51" s="24">
        <v>3</v>
      </c>
      <c r="D51" s="24">
        <v>42</v>
      </c>
      <c r="E51" s="24">
        <v>70</v>
      </c>
      <c r="F51" s="24"/>
      <c r="G51" s="24"/>
      <c r="H51" s="24">
        <v>24</v>
      </c>
      <c r="I51" s="24">
        <v>48</v>
      </c>
      <c r="J51" s="24">
        <v>268</v>
      </c>
      <c r="K51" s="24">
        <v>368</v>
      </c>
      <c r="L51" s="24">
        <v>158</v>
      </c>
      <c r="M51" s="24">
        <v>14</v>
      </c>
      <c r="N51" s="24">
        <v>1</v>
      </c>
      <c r="O51" s="24">
        <v>23</v>
      </c>
      <c r="P51" s="24"/>
      <c r="Q51" s="24"/>
      <c r="R51" s="24">
        <v>4.18</v>
      </c>
      <c r="S51" s="24">
        <v>4.18</v>
      </c>
      <c r="T51" s="24">
        <v>0.04</v>
      </c>
      <c r="U51" s="24">
        <v>0.1</v>
      </c>
      <c r="V51" s="24">
        <v>211</v>
      </c>
      <c r="W51" s="24">
        <v>421</v>
      </c>
      <c r="X51" s="24">
        <v>52</v>
      </c>
      <c r="Y51" s="24">
        <v>97</v>
      </c>
      <c r="Z51" s="24">
        <v>55</v>
      </c>
      <c r="AA51" s="24">
        <v>75</v>
      </c>
      <c r="AB51" s="24">
        <v>1</v>
      </c>
      <c r="AC51" s="24">
        <v>3</v>
      </c>
      <c r="AD51" s="24">
        <v>10</v>
      </c>
      <c r="AE51" s="24">
        <v>11</v>
      </c>
      <c r="AF51" s="47">
        <v>3</v>
      </c>
      <c r="AG51" s="24">
        <v>6</v>
      </c>
      <c r="AH51" s="24">
        <v>8.51</v>
      </c>
      <c r="AI51" s="24">
        <v>13.02</v>
      </c>
      <c r="AJ51" s="24"/>
      <c r="AK51" s="24"/>
      <c r="AL51" s="24"/>
      <c r="AM51" s="24"/>
      <c r="AN51" s="24"/>
      <c r="AO51" s="24"/>
      <c r="AP51" s="24"/>
      <c r="AQ51" s="24"/>
      <c r="AR51" s="24">
        <v>15</v>
      </c>
      <c r="AS51" s="24">
        <v>31</v>
      </c>
      <c r="AT51" s="24">
        <v>14</v>
      </c>
      <c r="AU51" s="24">
        <v>29</v>
      </c>
      <c r="AV51" s="24">
        <v>3</v>
      </c>
      <c r="AW51" s="24">
        <v>8</v>
      </c>
      <c r="AX51" s="24">
        <v>4</v>
      </c>
      <c r="AY51" s="24">
        <v>8</v>
      </c>
      <c r="AZ51" s="24">
        <v>25</v>
      </c>
      <c r="BA51" s="24">
        <v>72</v>
      </c>
      <c r="BB51" s="24">
        <v>86</v>
      </c>
      <c r="BC51" s="24">
        <v>145</v>
      </c>
      <c r="BD51" s="24"/>
      <c r="BE51" s="24"/>
      <c r="BF51" s="24">
        <v>51</v>
      </c>
      <c r="BG51" s="24">
        <v>134</v>
      </c>
      <c r="BH51" s="24"/>
      <c r="BI51" s="24"/>
      <c r="BJ51" s="24"/>
      <c r="BK51" s="24"/>
      <c r="BL51" s="37">
        <f t="shared" si="6"/>
        <v>1036.73</v>
      </c>
      <c r="BM51" s="37">
        <f t="shared" si="6"/>
        <v>1583.3</v>
      </c>
    </row>
    <row r="52" spans="1:65" x14ac:dyDescent="0.25">
      <c r="A52" s="24" t="s">
        <v>287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47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>
        <v>0</v>
      </c>
      <c r="BG52" s="24">
        <v>0</v>
      </c>
      <c r="BH52" s="24"/>
      <c r="BI52" s="24"/>
      <c r="BJ52" s="24"/>
      <c r="BK52" s="24"/>
      <c r="BL52" s="37">
        <f t="shared" si="6"/>
        <v>0</v>
      </c>
      <c r="BM52" s="37">
        <f t="shared" si="6"/>
        <v>0</v>
      </c>
    </row>
    <row r="53" spans="1:65" s="4" customFormat="1" x14ac:dyDescent="0.25">
      <c r="A53" s="26" t="s">
        <v>288</v>
      </c>
      <c r="B53" s="26">
        <v>9</v>
      </c>
      <c r="C53" s="26">
        <v>20</v>
      </c>
      <c r="D53" s="26">
        <v>451</v>
      </c>
      <c r="E53" s="26">
        <v>910</v>
      </c>
      <c r="F53" s="26"/>
      <c r="G53" s="26"/>
      <c r="H53" s="26">
        <v>876</v>
      </c>
      <c r="I53" s="26">
        <v>1434</v>
      </c>
      <c r="J53" s="26">
        <v>1341</v>
      </c>
      <c r="K53" s="26">
        <v>2457</v>
      </c>
      <c r="L53" s="26">
        <v>1098</v>
      </c>
      <c r="M53" s="26">
        <v>2220</v>
      </c>
      <c r="N53" s="26">
        <v>85</v>
      </c>
      <c r="O53" s="26">
        <v>226</v>
      </c>
      <c r="P53" s="26"/>
      <c r="Q53" s="26"/>
      <c r="R53" s="26">
        <v>35.14</v>
      </c>
      <c r="S53" s="26">
        <v>51.59</v>
      </c>
      <c r="T53" s="26">
        <v>252.81</v>
      </c>
      <c r="U53" s="26">
        <v>473.07</v>
      </c>
      <c r="V53" s="26">
        <v>2324</v>
      </c>
      <c r="W53" s="26">
        <v>4491</v>
      </c>
      <c r="X53" s="26">
        <v>888</v>
      </c>
      <c r="Y53" s="26">
        <v>1796</v>
      </c>
      <c r="Z53" s="26">
        <v>398</v>
      </c>
      <c r="AA53" s="26">
        <v>730</v>
      </c>
      <c r="AB53" s="26">
        <v>200</v>
      </c>
      <c r="AC53" s="26">
        <v>211</v>
      </c>
      <c r="AD53" s="26">
        <v>45</v>
      </c>
      <c r="AE53" s="26">
        <v>91</v>
      </c>
      <c r="AF53" s="26">
        <v>13</v>
      </c>
      <c r="AG53" s="26">
        <v>29</v>
      </c>
      <c r="AH53" s="26">
        <v>109.52</v>
      </c>
      <c r="AI53" s="26">
        <v>174.88</v>
      </c>
      <c r="AJ53" s="26">
        <v>1479</v>
      </c>
      <c r="AK53" s="26">
        <v>1789</v>
      </c>
      <c r="AL53" s="26">
        <v>-2</v>
      </c>
      <c r="AM53" s="26">
        <v>1</v>
      </c>
      <c r="AN53" s="26">
        <v>248</v>
      </c>
      <c r="AO53" s="26">
        <v>468</v>
      </c>
      <c r="AP53" s="26">
        <v>1</v>
      </c>
      <c r="AQ53" s="26">
        <v>2</v>
      </c>
      <c r="AR53" s="26">
        <v>564</v>
      </c>
      <c r="AS53" s="26">
        <v>1087</v>
      </c>
      <c r="AT53" s="26">
        <v>134</v>
      </c>
      <c r="AU53" s="26">
        <v>271</v>
      </c>
      <c r="AV53" s="26">
        <v>2842</v>
      </c>
      <c r="AW53" s="26">
        <v>4518</v>
      </c>
      <c r="AX53" s="26">
        <v>160</v>
      </c>
      <c r="AY53" s="26">
        <v>233</v>
      </c>
      <c r="AZ53" s="26">
        <v>652</v>
      </c>
      <c r="BA53" s="26">
        <v>1175</v>
      </c>
      <c r="BB53" s="26">
        <v>1082</v>
      </c>
      <c r="BC53" s="26">
        <v>1440</v>
      </c>
      <c r="BD53" s="26">
        <v>1160</v>
      </c>
      <c r="BE53" s="26">
        <v>2767</v>
      </c>
      <c r="BF53" s="26">
        <v>1791</v>
      </c>
      <c r="BG53" s="26">
        <v>2157</v>
      </c>
      <c r="BH53" s="26">
        <v>642</v>
      </c>
      <c r="BI53" s="26">
        <v>1088</v>
      </c>
      <c r="BJ53" s="26">
        <v>146</v>
      </c>
      <c r="BK53" s="26">
        <v>714</v>
      </c>
      <c r="BL53" s="39">
        <f t="shared" si="6"/>
        <v>19024.47</v>
      </c>
      <c r="BM53" s="39">
        <f t="shared" si="6"/>
        <v>33024.54</v>
      </c>
    </row>
    <row r="54" spans="1:65" x14ac:dyDescent="0.25">
      <c r="A54" s="24" t="s">
        <v>289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>
        <v>36</v>
      </c>
      <c r="O54" s="24">
        <v>36</v>
      </c>
      <c r="P54" s="24"/>
      <c r="Q54" s="24"/>
      <c r="R54" s="24"/>
      <c r="S54" s="24"/>
      <c r="T54" s="24">
        <v>-0.2</v>
      </c>
      <c r="U54" s="24">
        <v>0.2</v>
      </c>
      <c r="V54" s="24"/>
      <c r="W54" s="24"/>
      <c r="X54" s="24">
        <v>1</v>
      </c>
      <c r="Y54" s="24">
        <v>1</v>
      </c>
      <c r="Z54" s="24">
        <v>3</v>
      </c>
      <c r="AA54" s="24">
        <v>3</v>
      </c>
      <c r="AB54" s="24"/>
      <c r="AC54" s="24"/>
      <c r="AD54" s="24"/>
      <c r="AE54" s="24"/>
      <c r="AF54" s="47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>
        <v>10</v>
      </c>
      <c r="AU54" s="24">
        <v>168</v>
      </c>
      <c r="AV54" s="24">
        <v>0</v>
      </c>
      <c r="AW54" s="24">
        <v>0</v>
      </c>
      <c r="AX54" s="24"/>
      <c r="AY54" s="24"/>
      <c r="AZ54" s="24"/>
      <c r="BA54" s="24"/>
      <c r="BB54" s="24">
        <v>47</v>
      </c>
      <c r="BC54" s="24">
        <v>47</v>
      </c>
      <c r="BD54" s="24">
        <v>25</v>
      </c>
      <c r="BE54" s="24">
        <v>69</v>
      </c>
      <c r="BF54" s="24">
        <v>0</v>
      </c>
      <c r="BG54" s="24">
        <v>0</v>
      </c>
      <c r="BH54" s="24">
        <v>3</v>
      </c>
      <c r="BI54" s="24">
        <v>20</v>
      </c>
      <c r="BJ54" s="24"/>
      <c r="BK54" s="24"/>
      <c r="BL54" s="37">
        <f t="shared" si="6"/>
        <v>124.8</v>
      </c>
      <c r="BM54" s="37">
        <f t="shared" si="6"/>
        <v>344.2</v>
      </c>
    </row>
    <row r="55" spans="1:65" x14ac:dyDescent="0.25">
      <c r="A55" s="24" t="s">
        <v>290</v>
      </c>
      <c r="B55" s="24">
        <v>1</v>
      </c>
      <c r="C55" s="24">
        <v>1</v>
      </c>
      <c r="D55" s="24">
        <v>17</v>
      </c>
      <c r="E55" s="24">
        <v>118</v>
      </c>
      <c r="F55" s="24"/>
      <c r="G55" s="24"/>
      <c r="H55" s="24">
        <v>-59</v>
      </c>
      <c r="I55" s="24">
        <v>-105</v>
      </c>
      <c r="J55" s="24">
        <v>62</v>
      </c>
      <c r="K55" s="24">
        <v>142</v>
      </c>
      <c r="L55" s="24">
        <v>1070</v>
      </c>
      <c r="M55" s="24">
        <v>2317</v>
      </c>
      <c r="N55" s="24">
        <v>-96</v>
      </c>
      <c r="O55" s="24">
        <v>-145</v>
      </c>
      <c r="P55" s="24"/>
      <c r="Q55" s="24"/>
      <c r="R55" s="24">
        <v>229.68</v>
      </c>
      <c r="S55" s="24">
        <v>233.25</v>
      </c>
      <c r="T55" s="24">
        <v>84.58</v>
      </c>
      <c r="U55" s="24">
        <v>105.19</v>
      </c>
      <c r="V55" s="24">
        <v>-3783</v>
      </c>
      <c r="W55" s="24">
        <v>-7492</v>
      </c>
      <c r="X55" s="24">
        <v>1347</v>
      </c>
      <c r="Y55" s="24">
        <v>2520</v>
      </c>
      <c r="Z55" s="24">
        <v>22</v>
      </c>
      <c r="AA55" s="24">
        <v>43</v>
      </c>
      <c r="AB55" s="24">
        <v>185</v>
      </c>
      <c r="AC55" s="24">
        <v>252</v>
      </c>
      <c r="AD55" s="24">
        <v>4</v>
      </c>
      <c r="AE55" s="24">
        <v>8</v>
      </c>
      <c r="AF55" s="47">
        <v>-1</v>
      </c>
      <c r="AG55" s="24">
        <v>-3</v>
      </c>
      <c r="AH55" s="24">
        <v>3.92</v>
      </c>
      <c r="AI55" s="24">
        <v>6.46</v>
      </c>
      <c r="AJ55" s="24">
        <v>114</v>
      </c>
      <c r="AK55" s="24">
        <v>220</v>
      </c>
      <c r="AL55" s="24">
        <v>-2</v>
      </c>
      <c r="AM55" s="24">
        <v>-1</v>
      </c>
      <c r="AN55" s="24">
        <v>101</v>
      </c>
      <c r="AO55" s="24">
        <v>260</v>
      </c>
      <c r="AP55" s="24">
        <v>1</v>
      </c>
      <c r="AQ55" s="24">
        <v>3</v>
      </c>
      <c r="AR55" s="24">
        <v>1406</v>
      </c>
      <c r="AS55" s="24">
        <v>2542</v>
      </c>
      <c r="AT55" s="24">
        <v>63</v>
      </c>
      <c r="AU55" s="24">
        <v>344</v>
      </c>
      <c r="AV55" s="24">
        <v>-2319</v>
      </c>
      <c r="AW55" s="24">
        <v>-947</v>
      </c>
      <c r="AX55" s="24">
        <v>8</v>
      </c>
      <c r="AY55" s="24">
        <v>23</v>
      </c>
      <c r="AZ55" s="24">
        <v>258</v>
      </c>
      <c r="BA55" s="24">
        <v>470</v>
      </c>
      <c r="BB55" s="24">
        <v>297</v>
      </c>
      <c r="BC55" s="24">
        <v>324</v>
      </c>
      <c r="BD55" s="24">
        <v>118</v>
      </c>
      <c r="BE55" s="24">
        <v>268</v>
      </c>
      <c r="BF55" s="24">
        <v>40</v>
      </c>
      <c r="BG55" s="24">
        <v>135</v>
      </c>
      <c r="BH55" s="24">
        <v>261</v>
      </c>
      <c r="BI55" s="24">
        <v>585</v>
      </c>
      <c r="BJ55" s="24">
        <v>1869</v>
      </c>
      <c r="BK55" s="24">
        <v>2002</v>
      </c>
      <c r="BL55" s="37">
        <f t="shared" si="6"/>
        <v>1302.1800000000003</v>
      </c>
      <c r="BM55" s="37">
        <f t="shared" si="6"/>
        <v>4228.9000000000005</v>
      </c>
    </row>
    <row r="56" spans="1:65" s="4" customFormat="1" x14ac:dyDescent="0.25">
      <c r="A56" s="26" t="s">
        <v>190</v>
      </c>
      <c r="B56" s="26">
        <v>8</v>
      </c>
      <c r="C56" s="26">
        <v>19</v>
      </c>
      <c r="D56" s="26">
        <v>434</v>
      </c>
      <c r="E56" s="26">
        <v>792</v>
      </c>
      <c r="F56" s="26"/>
      <c r="G56" s="26"/>
      <c r="H56" s="26">
        <v>817</v>
      </c>
      <c r="I56" s="26">
        <v>1329</v>
      </c>
      <c r="J56" s="26">
        <v>1279</v>
      </c>
      <c r="K56" s="26">
        <v>2315</v>
      </c>
      <c r="L56" s="26">
        <v>28</v>
      </c>
      <c r="M56" s="26">
        <v>-97</v>
      </c>
      <c r="N56" s="26">
        <v>25</v>
      </c>
      <c r="O56" s="26">
        <v>117</v>
      </c>
      <c r="P56" s="26"/>
      <c r="Q56" s="26"/>
      <c r="R56" s="26">
        <v>-194.54</v>
      </c>
      <c r="S56" s="26">
        <v>-181.66</v>
      </c>
      <c r="T56" s="26">
        <v>168.03</v>
      </c>
      <c r="U56" s="26">
        <v>368.08</v>
      </c>
      <c r="V56" s="26">
        <v>-1458</v>
      </c>
      <c r="W56" s="26">
        <v>-3001</v>
      </c>
      <c r="X56" s="26">
        <v>-458</v>
      </c>
      <c r="Y56" s="26">
        <v>-723</v>
      </c>
      <c r="Z56" s="26">
        <v>379</v>
      </c>
      <c r="AA56" s="26">
        <v>690</v>
      </c>
      <c r="AB56" s="26">
        <v>15</v>
      </c>
      <c r="AC56" s="26">
        <v>-41</v>
      </c>
      <c r="AD56" s="26">
        <v>41</v>
      </c>
      <c r="AE56" s="26">
        <v>83</v>
      </c>
      <c r="AF56" s="26">
        <v>12</v>
      </c>
      <c r="AG56" s="26">
        <v>27</v>
      </c>
      <c r="AH56" s="26">
        <v>105.6</v>
      </c>
      <c r="AI56" s="26">
        <v>168.42</v>
      </c>
      <c r="AJ56" s="26">
        <v>1365</v>
      </c>
      <c r="AK56" s="26">
        <v>1570</v>
      </c>
      <c r="AL56" s="26">
        <v>-4</v>
      </c>
      <c r="AM56" s="26"/>
      <c r="AN56" s="26">
        <v>147</v>
      </c>
      <c r="AO56" s="26">
        <v>208</v>
      </c>
      <c r="AP56" s="26">
        <v>0</v>
      </c>
      <c r="AQ56" s="26">
        <v>-1</v>
      </c>
      <c r="AR56" s="26">
        <v>-842</v>
      </c>
      <c r="AS56" s="26">
        <v>-1455</v>
      </c>
      <c r="AT56" s="26">
        <v>82</v>
      </c>
      <c r="AU56" s="26">
        <v>95</v>
      </c>
      <c r="AV56" s="26">
        <v>5161</v>
      </c>
      <c r="AW56" s="26">
        <v>5464</v>
      </c>
      <c r="AX56" s="26">
        <v>152</v>
      </c>
      <c r="AY56" s="26">
        <v>210</v>
      </c>
      <c r="AZ56" s="26">
        <v>395</v>
      </c>
      <c r="BA56" s="26">
        <v>705</v>
      </c>
      <c r="BB56" s="26">
        <v>833</v>
      </c>
      <c r="BC56" s="26">
        <v>1163</v>
      </c>
      <c r="BD56" s="26">
        <v>1067</v>
      </c>
      <c r="BE56" s="26">
        <v>2568</v>
      </c>
      <c r="BF56" s="26">
        <v>1751</v>
      </c>
      <c r="BG56" s="26">
        <v>2021</v>
      </c>
      <c r="BH56" s="26">
        <v>384</v>
      </c>
      <c r="BI56" s="26">
        <v>522</v>
      </c>
      <c r="BJ56" s="26">
        <v>-1723</v>
      </c>
      <c r="BK56" s="26">
        <v>-1287</v>
      </c>
      <c r="BL56" s="39">
        <f t="shared" si="6"/>
        <v>9969.09</v>
      </c>
      <c r="BM56" s="39">
        <f t="shared" si="6"/>
        <v>13647.84</v>
      </c>
    </row>
    <row r="58" spans="1:65" x14ac:dyDescent="0.25">
      <c r="A58" s="7" t="s">
        <v>317</v>
      </c>
    </row>
    <row r="59" spans="1:65" x14ac:dyDescent="0.25">
      <c r="A59" s="38" t="s">
        <v>0</v>
      </c>
      <c r="B59" s="94" t="s">
        <v>1</v>
      </c>
      <c r="C59" s="95"/>
      <c r="D59" s="94" t="s">
        <v>232</v>
      </c>
      <c r="E59" s="95"/>
      <c r="F59" s="94" t="s">
        <v>2</v>
      </c>
      <c r="G59" s="95"/>
      <c r="H59" s="94" t="s">
        <v>3</v>
      </c>
      <c r="I59" s="95"/>
      <c r="J59" s="94" t="s">
        <v>241</v>
      </c>
      <c r="K59" s="95"/>
      <c r="L59" s="94" t="s">
        <v>233</v>
      </c>
      <c r="M59" s="95"/>
      <c r="N59" s="94" t="s">
        <v>246</v>
      </c>
      <c r="O59" s="95"/>
      <c r="P59" s="94" t="s">
        <v>5</v>
      </c>
      <c r="Q59" s="95"/>
      <c r="R59" s="94" t="s">
        <v>4</v>
      </c>
      <c r="S59" s="95"/>
      <c r="T59" s="94" t="s">
        <v>6</v>
      </c>
      <c r="U59" s="95"/>
      <c r="V59" s="94" t="s">
        <v>7</v>
      </c>
      <c r="W59" s="95"/>
      <c r="X59" s="94" t="s">
        <v>8</v>
      </c>
      <c r="Y59" s="95"/>
      <c r="Z59" s="94" t="s">
        <v>9</v>
      </c>
      <c r="AA59" s="95"/>
      <c r="AB59" s="94" t="s">
        <v>240</v>
      </c>
      <c r="AC59" s="95"/>
      <c r="AD59" s="94" t="s">
        <v>10</v>
      </c>
      <c r="AE59" s="95"/>
      <c r="AF59" s="94" t="s">
        <v>11</v>
      </c>
      <c r="AG59" s="95"/>
      <c r="AH59" s="94" t="s">
        <v>234</v>
      </c>
      <c r="AI59" s="95"/>
      <c r="AJ59" s="94" t="s">
        <v>12</v>
      </c>
      <c r="AK59" s="95"/>
      <c r="AL59" s="94" t="s">
        <v>235</v>
      </c>
      <c r="AM59" s="95"/>
      <c r="AN59" s="94" t="s">
        <v>300</v>
      </c>
      <c r="AO59" s="95"/>
      <c r="AP59" s="94" t="s">
        <v>236</v>
      </c>
      <c r="AQ59" s="95"/>
      <c r="AR59" s="94" t="s">
        <v>239</v>
      </c>
      <c r="AS59" s="95"/>
      <c r="AT59" s="94" t="s">
        <v>13</v>
      </c>
      <c r="AU59" s="95"/>
      <c r="AV59" s="94" t="s">
        <v>14</v>
      </c>
      <c r="AW59" s="95"/>
      <c r="AX59" s="94" t="s">
        <v>15</v>
      </c>
      <c r="AY59" s="95"/>
      <c r="AZ59" s="94" t="s">
        <v>16</v>
      </c>
      <c r="BA59" s="95"/>
      <c r="BB59" s="94" t="s">
        <v>17</v>
      </c>
      <c r="BC59" s="95"/>
      <c r="BD59" s="94" t="s">
        <v>237</v>
      </c>
      <c r="BE59" s="95"/>
      <c r="BF59" s="94" t="s">
        <v>238</v>
      </c>
      <c r="BG59" s="95"/>
      <c r="BH59" s="94" t="s">
        <v>18</v>
      </c>
      <c r="BI59" s="95"/>
      <c r="BJ59" s="94" t="s">
        <v>19</v>
      </c>
      <c r="BK59" s="95"/>
      <c r="BL59" s="96" t="s">
        <v>20</v>
      </c>
      <c r="BM59" s="97"/>
    </row>
    <row r="60" spans="1:65" ht="30" x14ac:dyDescent="0.25">
      <c r="A60" s="38"/>
      <c r="B60" s="34" t="s">
        <v>298</v>
      </c>
      <c r="C60" s="35" t="s">
        <v>299</v>
      </c>
      <c r="D60" s="34" t="s">
        <v>298</v>
      </c>
      <c r="E60" s="35" t="s">
        <v>299</v>
      </c>
      <c r="F60" s="34" t="s">
        <v>298</v>
      </c>
      <c r="G60" s="35" t="s">
        <v>299</v>
      </c>
      <c r="H60" s="34" t="s">
        <v>298</v>
      </c>
      <c r="I60" s="35" t="s">
        <v>299</v>
      </c>
      <c r="J60" s="34" t="s">
        <v>298</v>
      </c>
      <c r="K60" s="35" t="s">
        <v>299</v>
      </c>
      <c r="L60" s="34" t="s">
        <v>298</v>
      </c>
      <c r="M60" s="35" t="s">
        <v>299</v>
      </c>
      <c r="N60" s="34" t="s">
        <v>298</v>
      </c>
      <c r="O60" s="35" t="s">
        <v>299</v>
      </c>
      <c r="P60" s="34" t="s">
        <v>298</v>
      </c>
      <c r="Q60" s="35" t="s">
        <v>299</v>
      </c>
      <c r="R60" s="34" t="s">
        <v>298</v>
      </c>
      <c r="S60" s="35" t="s">
        <v>299</v>
      </c>
      <c r="T60" s="34" t="s">
        <v>298</v>
      </c>
      <c r="U60" s="35" t="s">
        <v>299</v>
      </c>
      <c r="V60" s="34" t="s">
        <v>298</v>
      </c>
      <c r="W60" s="35" t="s">
        <v>299</v>
      </c>
      <c r="X60" s="34" t="s">
        <v>298</v>
      </c>
      <c r="Y60" s="35" t="s">
        <v>299</v>
      </c>
      <c r="Z60" s="34" t="s">
        <v>298</v>
      </c>
      <c r="AA60" s="35" t="s">
        <v>299</v>
      </c>
      <c r="AB60" s="34" t="s">
        <v>298</v>
      </c>
      <c r="AC60" s="35" t="s">
        <v>299</v>
      </c>
      <c r="AD60" s="34" t="s">
        <v>298</v>
      </c>
      <c r="AE60" s="35" t="s">
        <v>299</v>
      </c>
      <c r="AF60" s="34" t="s">
        <v>298</v>
      </c>
      <c r="AG60" s="35" t="s">
        <v>299</v>
      </c>
      <c r="AH60" s="34" t="s">
        <v>298</v>
      </c>
      <c r="AI60" s="35" t="s">
        <v>299</v>
      </c>
      <c r="AJ60" s="34" t="s">
        <v>298</v>
      </c>
      <c r="AK60" s="35" t="s">
        <v>299</v>
      </c>
      <c r="AL60" s="34" t="s">
        <v>298</v>
      </c>
      <c r="AM60" s="35" t="s">
        <v>299</v>
      </c>
      <c r="AN60" s="34" t="s">
        <v>298</v>
      </c>
      <c r="AO60" s="35" t="s">
        <v>299</v>
      </c>
      <c r="AP60" s="34" t="s">
        <v>298</v>
      </c>
      <c r="AQ60" s="35" t="s">
        <v>299</v>
      </c>
      <c r="AR60" s="34" t="s">
        <v>298</v>
      </c>
      <c r="AS60" s="35" t="s">
        <v>299</v>
      </c>
      <c r="AT60" s="34" t="s">
        <v>298</v>
      </c>
      <c r="AU60" s="35" t="s">
        <v>299</v>
      </c>
      <c r="AV60" s="34" t="s">
        <v>298</v>
      </c>
      <c r="AW60" s="35" t="s">
        <v>299</v>
      </c>
      <c r="AX60" s="34" t="s">
        <v>298</v>
      </c>
      <c r="AY60" s="35" t="s">
        <v>299</v>
      </c>
      <c r="AZ60" s="34" t="s">
        <v>298</v>
      </c>
      <c r="BA60" s="35" t="s">
        <v>299</v>
      </c>
      <c r="BB60" s="34" t="s">
        <v>298</v>
      </c>
      <c r="BC60" s="35" t="s">
        <v>299</v>
      </c>
      <c r="BD60" s="34" t="s">
        <v>298</v>
      </c>
      <c r="BE60" s="35" t="s">
        <v>299</v>
      </c>
      <c r="BF60" s="34" t="s">
        <v>298</v>
      </c>
      <c r="BG60" s="35" t="s">
        <v>299</v>
      </c>
      <c r="BH60" s="34" t="s">
        <v>298</v>
      </c>
      <c r="BI60" s="35" t="s">
        <v>299</v>
      </c>
      <c r="BJ60" s="34" t="s">
        <v>298</v>
      </c>
      <c r="BK60" s="35" t="s">
        <v>299</v>
      </c>
      <c r="BL60" s="34" t="s">
        <v>298</v>
      </c>
      <c r="BM60" s="35" t="s">
        <v>299</v>
      </c>
    </row>
    <row r="61" spans="1:65" x14ac:dyDescent="0.25">
      <c r="A61" s="24" t="s">
        <v>285</v>
      </c>
      <c r="B61" s="24"/>
      <c r="C61" s="24"/>
      <c r="D61" s="24"/>
      <c r="E61" s="24"/>
      <c r="F61" s="24"/>
      <c r="G61" s="24"/>
      <c r="H61" s="24">
        <v>211</v>
      </c>
      <c r="I61" s="24">
        <v>337</v>
      </c>
      <c r="J61" s="24"/>
      <c r="K61" s="24"/>
      <c r="L61" s="24">
        <v>1</v>
      </c>
      <c r="M61" s="24">
        <v>6</v>
      </c>
      <c r="N61" s="24"/>
      <c r="O61" s="24"/>
      <c r="P61" s="24"/>
      <c r="Q61" s="24"/>
      <c r="R61" s="24"/>
      <c r="S61" s="24"/>
      <c r="T61" s="24">
        <v>58.19</v>
      </c>
      <c r="U61" s="24">
        <v>119.43</v>
      </c>
      <c r="V61" s="24">
        <v>6</v>
      </c>
      <c r="W61" s="24">
        <v>10</v>
      </c>
      <c r="X61" s="24">
        <v>148</v>
      </c>
      <c r="Y61" s="24">
        <v>301</v>
      </c>
      <c r="Z61" s="24">
        <v>173</v>
      </c>
      <c r="AA61" s="24">
        <v>393</v>
      </c>
      <c r="AB61" s="24"/>
      <c r="AC61" s="24"/>
      <c r="AD61" s="24">
        <v>68</v>
      </c>
      <c r="AE61" s="24">
        <v>118</v>
      </c>
      <c r="AF61" s="47"/>
      <c r="AG61" s="24"/>
      <c r="AH61" s="24"/>
      <c r="AI61" s="24"/>
      <c r="AJ61" s="24"/>
      <c r="AK61" s="24"/>
      <c r="AL61" s="24"/>
      <c r="AM61" s="24"/>
      <c r="AN61" s="24"/>
      <c r="AO61" s="24"/>
      <c r="AP61" s="24">
        <v>205</v>
      </c>
      <c r="AQ61" s="24">
        <v>398</v>
      </c>
      <c r="AR61" s="24">
        <v>55</v>
      </c>
      <c r="AS61" s="24">
        <v>178</v>
      </c>
      <c r="AT61" s="24">
        <v>17</v>
      </c>
      <c r="AU61" s="24">
        <v>25</v>
      </c>
      <c r="AV61" s="24">
        <v>133</v>
      </c>
      <c r="AW61" s="24">
        <v>316</v>
      </c>
      <c r="AX61" s="24">
        <v>1</v>
      </c>
      <c r="AY61" s="24">
        <v>3</v>
      </c>
      <c r="AZ61" s="24"/>
      <c r="BA61" s="24"/>
      <c r="BB61" s="24">
        <v>1015</v>
      </c>
      <c r="BC61" s="24">
        <v>2108</v>
      </c>
      <c r="BD61" s="24"/>
      <c r="BE61" s="24"/>
      <c r="BF61" s="24">
        <v>261</v>
      </c>
      <c r="BG61" s="24">
        <v>470</v>
      </c>
      <c r="BH61" s="24"/>
      <c r="BI61" s="24"/>
      <c r="BJ61" s="24">
        <v>80</v>
      </c>
      <c r="BK61" s="24">
        <v>112</v>
      </c>
      <c r="BL61" s="37">
        <f t="shared" ref="BL61:BM67" si="7">SUM(B61+D61+F61+H61+J61+L61+N61+P61+R61+T61+V61+X61+Z61+AB61+AD61+AF61+AH61+AJ61+AL61+AN61+AP61+AR61+AT61+AV61+AX61+AZ61+BB61+BD61+BF61+BH61+BJ61)</f>
        <v>2432.19</v>
      </c>
      <c r="BM61" s="37">
        <f t="shared" si="7"/>
        <v>4894.43</v>
      </c>
    </row>
    <row r="62" spans="1:65" x14ac:dyDescent="0.25">
      <c r="A62" s="24" t="s">
        <v>286</v>
      </c>
      <c r="B62" s="24"/>
      <c r="C62" s="24"/>
      <c r="D62" s="24"/>
      <c r="E62" s="24"/>
      <c r="F62" s="24"/>
      <c r="G62" s="24"/>
      <c r="H62" s="24">
        <v>44</v>
      </c>
      <c r="I62" s="24">
        <v>116</v>
      </c>
      <c r="J62" s="24"/>
      <c r="K62" s="24"/>
      <c r="L62" s="24">
        <v>0</v>
      </c>
      <c r="M62" s="24">
        <v>0</v>
      </c>
      <c r="N62" s="24"/>
      <c r="O62" s="24"/>
      <c r="P62" s="24"/>
      <c r="Q62" s="24"/>
      <c r="R62" s="24"/>
      <c r="S62" s="24"/>
      <c r="T62" s="24">
        <v>9.19</v>
      </c>
      <c r="U62" s="24">
        <v>22.55</v>
      </c>
      <c r="V62" s="24">
        <v>2</v>
      </c>
      <c r="W62" s="24">
        <v>4</v>
      </c>
      <c r="X62" s="24">
        <v>28</v>
      </c>
      <c r="Y62" s="24">
        <v>78</v>
      </c>
      <c r="Z62" s="24">
        <v>181</v>
      </c>
      <c r="AA62" s="24">
        <v>338</v>
      </c>
      <c r="AB62" s="24"/>
      <c r="AC62" s="24"/>
      <c r="AD62" s="24">
        <v>3</v>
      </c>
      <c r="AE62" s="24">
        <v>7</v>
      </c>
      <c r="AF62" s="47"/>
      <c r="AG62" s="24"/>
      <c r="AH62" s="24"/>
      <c r="AI62" s="24"/>
      <c r="AJ62" s="24"/>
      <c r="AK62" s="24"/>
      <c r="AL62" s="24"/>
      <c r="AM62" s="24"/>
      <c r="AN62" s="24"/>
      <c r="AO62" s="24"/>
      <c r="AP62" s="24">
        <v>62</v>
      </c>
      <c r="AQ62" s="24">
        <v>108</v>
      </c>
      <c r="AR62" s="24">
        <v>20</v>
      </c>
      <c r="AS62" s="24">
        <v>44</v>
      </c>
      <c r="AT62" s="24">
        <v>5</v>
      </c>
      <c r="AU62" s="24">
        <v>6</v>
      </c>
      <c r="AV62" s="24">
        <v>40</v>
      </c>
      <c r="AW62" s="24">
        <v>94</v>
      </c>
      <c r="AX62" s="24">
        <v>0</v>
      </c>
      <c r="AY62" s="24">
        <v>1</v>
      </c>
      <c r="AZ62" s="24"/>
      <c r="BA62" s="24"/>
      <c r="BB62" s="24">
        <v>269</v>
      </c>
      <c r="BC62" s="24">
        <v>575</v>
      </c>
      <c r="BD62" s="24"/>
      <c r="BE62" s="24"/>
      <c r="BF62" s="24">
        <v>11</v>
      </c>
      <c r="BG62" s="24">
        <v>15</v>
      </c>
      <c r="BH62" s="24"/>
      <c r="BI62" s="24"/>
      <c r="BJ62" s="24">
        <v>31</v>
      </c>
      <c r="BK62" s="24">
        <v>31</v>
      </c>
      <c r="BL62" s="37">
        <f t="shared" si="7"/>
        <v>705.19</v>
      </c>
      <c r="BM62" s="37">
        <f t="shared" si="7"/>
        <v>1439.55</v>
      </c>
    </row>
    <row r="63" spans="1:65" x14ac:dyDescent="0.25">
      <c r="A63" s="24" t="s">
        <v>287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47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>
        <v>0</v>
      </c>
      <c r="BG63" s="24">
        <v>0</v>
      </c>
      <c r="BH63" s="24"/>
      <c r="BI63" s="24"/>
      <c r="BJ63" s="24"/>
      <c r="BK63" s="24"/>
      <c r="BL63" s="37">
        <f t="shared" si="7"/>
        <v>0</v>
      </c>
      <c r="BM63" s="37">
        <f t="shared" si="7"/>
        <v>0</v>
      </c>
    </row>
    <row r="64" spans="1:65" s="4" customFormat="1" x14ac:dyDescent="0.25">
      <c r="A64" s="26" t="s">
        <v>288</v>
      </c>
      <c r="B64" s="26"/>
      <c r="C64" s="26"/>
      <c r="D64" s="26"/>
      <c r="E64" s="26"/>
      <c r="F64" s="26"/>
      <c r="G64" s="26"/>
      <c r="H64" s="26">
        <v>255</v>
      </c>
      <c r="I64" s="26">
        <v>453</v>
      </c>
      <c r="J64" s="26"/>
      <c r="K64" s="26"/>
      <c r="L64" s="26">
        <v>1</v>
      </c>
      <c r="M64" s="26">
        <v>6</v>
      </c>
      <c r="N64" s="26"/>
      <c r="O64" s="26"/>
      <c r="P64" s="26"/>
      <c r="Q64" s="26"/>
      <c r="R64" s="26"/>
      <c r="S64" s="26"/>
      <c r="T64" s="26">
        <v>67.38</v>
      </c>
      <c r="U64" s="26">
        <v>141.97999999999999</v>
      </c>
      <c r="V64" s="26">
        <v>8</v>
      </c>
      <c r="W64" s="26">
        <v>13</v>
      </c>
      <c r="X64" s="26">
        <v>176</v>
      </c>
      <c r="Y64" s="26">
        <v>379</v>
      </c>
      <c r="Z64" s="26">
        <v>354</v>
      </c>
      <c r="AA64" s="26">
        <v>731</v>
      </c>
      <c r="AB64" s="26"/>
      <c r="AC64" s="26"/>
      <c r="AD64" s="26">
        <v>72</v>
      </c>
      <c r="AE64" s="26">
        <v>125</v>
      </c>
      <c r="AF64" s="26"/>
      <c r="AG64" s="26"/>
      <c r="AH64" s="26"/>
      <c r="AI64" s="26"/>
      <c r="AJ64" s="26">
        <v>371</v>
      </c>
      <c r="AK64" s="26">
        <v>653</v>
      </c>
      <c r="AL64" s="26"/>
      <c r="AM64" s="26"/>
      <c r="AN64" s="26"/>
      <c r="AO64" s="26"/>
      <c r="AP64" s="26">
        <v>266</v>
      </c>
      <c r="AQ64" s="26">
        <v>506</v>
      </c>
      <c r="AR64" s="26">
        <v>76</v>
      </c>
      <c r="AS64" s="26">
        <v>223</v>
      </c>
      <c r="AT64" s="26">
        <v>21</v>
      </c>
      <c r="AU64" s="26">
        <v>32</v>
      </c>
      <c r="AV64" s="26">
        <v>172</v>
      </c>
      <c r="AW64" s="26">
        <v>410</v>
      </c>
      <c r="AX64" s="26">
        <v>1</v>
      </c>
      <c r="AY64" s="26">
        <v>4</v>
      </c>
      <c r="AZ64" s="26"/>
      <c r="BA64" s="26"/>
      <c r="BB64" s="26">
        <v>1284</v>
      </c>
      <c r="BC64" s="26">
        <v>2683</v>
      </c>
      <c r="BD64" s="26">
        <v>2145</v>
      </c>
      <c r="BE64" s="26">
        <v>4784</v>
      </c>
      <c r="BF64" s="26">
        <v>272</v>
      </c>
      <c r="BG64" s="26">
        <v>485</v>
      </c>
      <c r="BH64" s="26">
        <v>404</v>
      </c>
      <c r="BI64" s="26">
        <v>788</v>
      </c>
      <c r="BJ64" s="26">
        <v>112</v>
      </c>
      <c r="BK64" s="26">
        <v>144</v>
      </c>
      <c r="BL64" s="39">
        <f t="shared" si="7"/>
        <v>6057.38</v>
      </c>
      <c r="BM64" s="39">
        <f t="shared" si="7"/>
        <v>12560.98</v>
      </c>
    </row>
    <row r="65" spans="1:65" x14ac:dyDescent="0.25">
      <c r="A65" s="24" t="s">
        <v>289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>
        <v>15.14</v>
      </c>
      <c r="U65" s="24">
        <v>15.14</v>
      </c>
      <c r="V65" s="24"/>
      <c r="W65" s="24"/>
      <c r="X65" s="24"/>
      <c r="Y65" s="24">
        <v>106</v>
      </c>
      <c r="Z65" s="24"/>
      <c r="AA65" s="24"/>
      <c r="AB65" s="24"/>
      <c r="AC65" s="24"/>
      <c r="AD65" s="24">
        <v>3</v>
      </c>
      <c r="AE65" s="24">
        <v>15</v>
      </c>
      <c r="AF65" s="47"/>
      <c r="AG65" s="24"/>
      <c r="AH65" s="24"/>
      <c r="AI65" s="24"/>
      <c r="AJ65" s="24"/>
      <c r="AK65" s="24"/>
      <c r="AL65" s="24"/>
      <c r="AM65" s="24"/>
      <c r="AN65" s="24"/>
      <c r="AO65" s="24"/>
      <c r="AP65" s="24">
        <v>17</v>
      </c>
      <c r="AQ65" s="24">
        <v>42</v>
      </c>
      <c r="AR65" s="24">
        <v>18</v>
      </c>
      <c r="AS65" s="24">
        <v>18</v>
      </c>
      <c r="AT65" s="24"/>
      <c r="AU65" s="24">
        <v>0</v>
      </c>
      <c r="AV65" s="24">
        <v>68</v>
      </c>
      <c r="AW65" s="24">
        <v>88</v>
      </c>
      <c r="AX65" s="24"/>
      <c r="AY65" s="24"/>
      <c r="AZ65" s="24"/>
      <c r="BA65" s="24"/>
      <c r="BB65" s="24">
        <v>309</v>
      </c>
      <c r="BC65" s="24">
        <v>554</v>
      </c>
      <c r="BD65" s="24">
        <v>0</v>
      </c>
      <c r="BE65" s="24">
        <v>1</v>
      </c>
      <c r="BF65" s="24">
        <v>7</v>
      </c>
      <c r="BG65" s="24">
        <v>7</v>
      </c>
      <c r="BH65" s="24">
        <v>0</v>
      </c>
      <c r="BI65" s="24">
        <v>0</v>
      </c>
      <c r="BJ65" s="24"/>
      <c r="BK65" s="24"/>
      <c r="BL65" s="37">
        <f t="shared" si="7"/>
        <v>437.14</v>
      </c>
      <c r="BM65" s="37">
        <f t="shared" si="7"/>
        <v>846.14</v>
      </c>
    </row>
    <row r="66" spans="1:65" x14ac:dyDescent="0.25">
      <c r="A66" s="24" t="s">
        <v>290</v>
      </c>
      <c r="B66" s="24">
        <v>98</v>
      </c>
      <c r="C66" s="24">
        <v>186</v>
      </c>
      <c r="D66" s="24"/>
      <c r="E66" s="24"/>
      <c r="F66" s="24"/>
      <c r="G66" s="24"/>
      <c r="H66" s="24">
        <v>-125</v>
      </c>
      <c r="I66" s="24">
        <v>-258</v>
      </c>
      <c r="J66" s="24"/>
      <c r="K66" s="24"/>
      <c r="L66" s="24">
        <v>14</v>
      </c>
      <c r="M66" s="24">
        <v>28</v>
      </c>
      <c r="N66" s="24">
        <v>-1</v>
      </c>
      <c r="O66" s="24">
        <v>-2</v>
      </c>
      <c r="P66" s="24"/>
      <c r="Q66" s="24"/>
      <c r="R66" s="24"/>
      <c r="S66" s="24"/>
      <c r="T66" s="24">
        <v>51.13</v>
      </c>
      <c r="U66" s="24">
        <v>99.42</v>
      </c>
      <c r="V66" s="24">
        <v>-8</v>
      </c>
      <c r="W66" s="24">
        <v>-14</v>
      </c>
      <c r="X66" s="24">
        <v>20</v>
      </c>
      <c r="Y66" s="24">
        <v>221</v>
      </c>
      <c r="Z66" s="24">
        <v>48</v>
      </c>
      <c r="AA66" s="24">
        <v>114</v>
      </c>
      <c r="AB66" s="24">
        <v>1</v>
      </c>
      <c r="AC66" s="24">
        <v>1</v>
      </c>
      <c r="AD66" s="24">
        <v>4</v>
      </c>
      <c r="AE66" s="24">
        <v>13</v>
      </c>
      <c r="AF66" s="47"/>
      <c r="AG66" s="24"/>
      <c r="AH66" s="24"/>
      <c r="AI66" s="24"/>
      <c r="AJ66" s="24">
        <v>19</v>
      </c>
      <c r="AK66" s="24">
        <v>49</v>
      </c>
      <c r="AL66" s="24"/>
      <c r="AM66" s="24"/>
      <c r="AN66" s="24"/>
      <c r="AO66" s="24"/>
      <c r="AP66" s="24">
        <v>11</v>
      </c>
      <c r="AQ66" s="24">
        <v>21</v>
      </c>
      <c r="AR66" s="24">
        <v>44</v>
      </c>
      <c r="AS66" s="24">
        <v>52</v>
      </c>
      <c r="AT66" s="24">
        <v>27</v>
      </c>
      <c r="AU66" s="24">
        <v>29</v>
      </c>
      <c r="AV66" s="24">
        <v>101</v>
      </c>
      <c r="AW66" s="24">
        <v>483</v>
      </c>
      <c r="AX66" s="24">
        <v>0</v>
      </c>
      <c r="AY66" s="24">
        <v>0</v>
      </c>
      <c r="AZ66" s="24"/>
      <c r="BA66" s="24"/>
      <c r="BB66" s="24">
        <v>3093</v>
      </c>
      <c r="BC66" s="24">
        <v>6292</v>
      </c>
      <c r="BD66" s="24">
        <v>473</v>
      </c>
      <c r="BE66" s="24">
        <v>1004</v>
      </c>
      <c r="BF66" s="24">
        <v>-2</v>
      </c>
      <c r="BG66" s="24">
        <v>44</v>
      </c>
      <c r="BH66" s="24">
        <v>30</v>
      </c>
      <c r="BI66" s="24">
        <v>71</v>
      </c>
      <c r="BJ66" s="24">
        <v>32</v>
      </c>
      <c r="BK66" s="24">
        <v>40</v>
      </c>
      <c r="BL66" s="37">
        <f t="shared" si="7"/>
        <v>3930.13</v>
      </c>
      <c r="BM66" s="37">
        <f t="shared" si="7"/>
        <v>8473.42</v>
      </c>
    </row>
    <row r="67" spans="1:65" s="4" customFormat="1" x14ac:dyDescent="0.25">
      <c r="A67" s="26" t="s">
        <v>190</v>
      </c>
      <c r="B67" s="26">
        <v>-98</v>
      </c>
      <c r="C67" s="26">
        <v>-186</v>
      </c>
      <c r="D67" s="26"/>
      <c r="E67" s="26"/>
      <c r="F67" s="26"/>
      <c r="G67" s="26"/>
      <c r="H67" s="26">
        <v>130</v>
      </c>
      <c r="I67" s="26">
        <v>195</v>
      </c>
      <c r="J67" s="26"/>
      <c r="K67" s="26"/>
      <c r="L67" s="26">
        <v>-13</v>
      </c>
      <c r="M67" s="26">
        <v>-22</v>
      </c>
      <c r="N67" s="26">
        <v>-1</v>
      </c>
      <c r="O67" s="26">
        <v>-2</v>
      </c>
      <c r="P67" s="26"/>
      <c r="Q67" s="26"/>
      <c r="R67" s="26"/>
      <c r="S67" s="26"/>
      <c r="T67" s="26">
        <v>31.39</v>
      </c>
      <c r="U67" s="26">
        <v>57.7</v>
      </c>
      <c r="V67" s="26">
        <v>0</v>
      </c>
      <c r="W67" s="26">
        <v>-1</v>
      </c>
      <c r="X67" s="26">
        <v>156</v>
      </c>
      <c r="Y67" s="26">
        <v>264</v>
      </c>
      <c r="Z67" s="26">
        <v>306</v>
      </c>
      <c r="AA67" s="26">
        <v>617</v>
      </c>
      <c r="AB67" s="26">
        <v>-1</v>
      </c>
      <c r="AC67" s="26">
        <v>-1</v>
      </c>
      <c r="AD67" s="26">
        <v>70</v>
      </c>
      <c r="AE67" s="26">
        <v>127</v>
      </c>
      <c r="AF67" s="26"/>
      <c r="AG67" s="26"/>
      <c r="AH67" s="26"/>
      <c r="AI67" s="26"/>
      <c r="AJ67" s="26">
        <v>352</v>
      </c>
      <c r="AK67" s="26">
        <v>604</v>
      </c>
      <c r="AL67" s="26"/>
      <c r="AM67" s="26"/>
      <c r="AN67" s="26"/>
      <c r="AO67" s="26"/>
      <c r="AP67" s="26">
        <v>273</v>
      </c>
      <c r="AQ67" s="26">
        <v>528</v>
      </c>
      <c r="AR67" s="26">
        <v>50</v>
      </c>
      <c r="AS67" s="26">
        <v>188</v>
      </c>
      <c r="AT67" s="26">
        <v>-5</v>
      </c>
      <c r="AU67" s="26">
        <v>2</v>
      </c>
      <c r="AV67" s="26">
        <v>139</v>
      </c>
      <c r="AW67" s="26">
        <v>14</v>
      </c>
      <c r="AX67" s="26">
        <v>1</v>
      </c>
      <c r="AY67" s="26">
        <v>4</v>
      </c>
      <c r="AZ67" s="26"/>
      <c r="BA67" s="26"/>
      <c r="BB67" s="26">
        <v>-1500</v>
      </c>
      <c r="BC67" s="26">
        <v>-3055</v>
      </c>
      <c r="BD67" s="26">
        <v>1672</v>
      </c>
      <c r="BE67" s="26">
        <v>3781</v>
      </c>
      <c r="BF67" s="26">
        <v>281</v>
      </c>
      <c r="BG67" s="26">
        <v>448</v>
      </c>
      <c r="BH67" s="26">
        <v>374</v>
      </c>
      <c r="BI67" s="26">
        <v>718</v>
      </c>
      <c r="BJ67" s="26">
        <v>80</v>
      </c>
      <c r="BK67" s="26">
        <v>103</v>
      </c>
      <c r="BL67" s="39">
        <f t="shared" si="7"/>
        <v>2297.39</v>
      </c>
      <c r="BM67" s="39">
        <f t="shared" si="7"/>
        <v>4383.7</v>
      </c>
    </row>
    <row r="69" spans="1:65" x14ac:dyDescent="0.25">
      <c r="A69" s="7" t="s">
        <v>185</v>
      </c>
    </row>
    <row r="70" spans="1:65" x14ac:dyDescent="0.25">
      <c r="A70" s="38" t="s">
        <v>0</v>
      </c>
      <c r="B70" s="94" t="s">
        <v>1</v>
      </c>
      <c r="C70" s="95"/>
      <c r="D70" s="94" t="s">
        <v>232</v>
      </c>
      <c r="E70" s="95"/>
      <c r="F70" s="94" t="s">
        <v>2</v>
      </c>
      <c r="G70" s="95"/>
      <c r="H70" s="94" t="s">
        <v>3</v>
      </c>
      <c r="I70" s="95"/>
      <c r="J70" s="94" t="s">
        <v>241</v>
      </c>
      <c r="K70" s="95"/>
      <c r="L70" s="94" t="s">
        <v>233</v>
      </c>
      <c r="M70" s="95"/>
      <c r="N70" s="94" t="s">
        <v>246</v>
      </c>
      <c r="O70" s="95"/>
      <c r="P70" s="94" t="s">
        <v>5</v>
      </c>
      <c r="Q70" s="95"/>
      <c r="R70" s="94" t="s">
        <v>4</v>
      </c>
      <c r="S70" s="95"/>
      <c r="T70" s="94" t="s">
        <v>6</v>
      </c>
      <c r="U70" s="95"/>
      <c r="V70" s="94" t="s">
        <v>7</v>
      </c>
      <c r="W70" s="95"/>
      <c r="X70" s="94" t="s">
        <v>8</v>
      </c>
      <c r="Y70" s="95"/>
      <c r="Z70" s="94" t="s">
        <v>9</v>
      </c>
      <c r="AA70" s="95"/>
      <c r="AB70" s="94" t="s">
        <v>240</v>
      </c>
      <c r="AC70" s="95"/>
      <c r="AD70" s="94" t="s">
        <v>10</v>
      </c>
      <c r="AE70" s="95"/>
      <c r="AF70" s="94" t="s">
        <v>11</v>
      </c>
      <c r="AG70" s="95"/>
      <c r="AH70" s="94" t="s">
        <v>234</v>
      </c>
      <c r="AI70" s="95"/>
      <c r="AJ70" s="94" t="s">
        <v>12</v>
      </c>
      <c r="AK70" s="95"/>
      <c r="AL70" s="94" t="s">
        <v>235</v>
      </c>
      <c r="AM70" s="95"/>
      <c r="AN70" s="94" t="s">
        <v>300</v>
      </c>
      <c r="AO70" s="95"/>
      <c r="AP70" s="94" t="s">
        <v>236</v>
      </c>
      <c r="AQ70" s="95"/>
      <c r="AR70" s="94" t="s">
        <v>239</v>
      </c>
      <c r="AS70" s="95"/>
      <c r="AT70" s="94" t="s">
        <v>13</v>
      </c>
      <c r="AU70" s="95"/>
      <c r="AV70" s="94" t="s">
        <v>14</v>
      </c>
      <c r="AW70" s="95"/>
      <c r="AX70" s="94" t="s">
        <v>15</v>
      </c>
      <c r="AY70" s="95"/>
      <c r="AZ70" s="94" t="s">
        <v>16</v>
      </c>
      <c r="BA70" s="95"/>
      <c r="BB70" s="94" t="s">
        <v>17</v>
      </c>
      <c r="BC70" s="95"/>
      <c r="BD70" s="94" t="s">
        <v>237</v>
      </c>
      <c r="BE70" s="95"/>
      <c r="BF70" s="94" t="s">
        <v>238</v>
      </c>
      <c r="BG70" s="95"/>
      <c r="BH70" s="94" t="s">
        <v>18</v>
      </c>
      <c r="BI70" s="95"/>
      <c r="BJ70" s="94" t="s">
        <v>19</v>
      </c>
      <c r="BK70" s="95"/>
      <c r="BL70" s="96" t="s">
        <v>20</v>
      </c>
      <c r="BM70" s="97"/>
    </row>
    <row r="71" spans="1:65" ht="30" x14ac:dyDescent="0.25">
      <c r="A71" s="38"/>
      <c r="B71" s="34" t="s">
        <v>298</v>
      </c>
      <c r="C71" s="35" t="s">
        <v>299</v>
      </c>
      <c r="D71" s="34" t="s">
        <v>298</v>
      </c>
      <c r="E71" s="35" t="s">
        <v>299</v>
      </c>
      <c r="F71" s="34" t="s">
        <v>298</v>
      </c>
      <c r="G71" s="35" t="s">
        <v>299</v>
      </c>
      <c r="H71" s="34" t="s">
        <v>298</v>
      </c>
      <c r="I71" s="35" t="s">
        <v>299</v>
      </c>
      <c r="J71" s="34" t="s">
        <v>298</v>
      </c>
      <c r="K71" s="35" t="s">
        <v>299</v>
      </c>
      <c r="L71" s="34" t="s">
        <v>298</v>
      </c>
      <c r="M71" s="35" t="s">
        <v>299</v>
      </c>
      <c r="N71" s="34" t="s">
        <v>298</v>
      </c>
      <c r="O71" s="35" t="s">
        <v>299</v>
      </c>
      <c r="P71" s="34" t="s">
        <v>298</v>
      </c>
      <c r="Q71" s="35" t="s">
        <v>299</v>
      </c>
      <c r="R71" s="34" t="s">
        <v>298</v>
      </c>
      <c r="S71" s="35" t="s">
        <v>299</v>
      </c>
      <c r="T71" s="34" t="s">
        <v>298</v>
      </c>
      <c r="U71" s="35" t="s">
        <v>299</v>
      </c>
      <c r="V71" s="34" t="s">
        <v>298</v>
      </c>
      <c r="W71" s="35" t="s">
        <v>299</v>
      </c>
      <c r="X71" s="34" t="s">
        <v>298</v>
      </c>
      <c r="Y71" s="35" t="s">
        <v>299</v>
      </c>
      <c r="Z71" s="34" t="s">
        <v>298</v>
      </c>
      <c r="AA71" s="35" t="s">
        <v>299</v>
      </c>
      <c r="AB71" s="34" t="s">
        <v>298</v>
      </c>
      <c r="AC71" s="35" t="s">
        <v>299</v>
      </c>
      <c r="AD71" s="34" t="s">
        <v>298</v>
      </c>
      <c r="AE71" s="35" t="s">
        <v>299</v>
      </c>
      <c r="AF71" s="34" t="s">
        <v>298</v>
      </c>
      <c r="AG71" s="35" t="s">
        <v>299</v>
      </c>
      <c r="AH71" s="34" t="s">
        <v>298</v>
      </c>
      <c r="AI71" s="35" t="s">
        <v>299</v>
      </c>
      <c r="AJ71" s="34" t="s">
        <v>298</v>
      </c>
      <c r="AK71" s="35" t="s">
        <v>299</v>
      </c>
      <c r="AL71" s="34" t="s">
        <v>298</v>
      </c>
      <c r="AM71" s="35" t="s">
        <v>299</v>
      </c>
      <c r="AN71" s="34" t="s">
        <v>298</v>
      </c>
      <c r="AO71" s="35" t="s">
        <v>299</v>
      </c>
      <c r="AP71" s="34" t="s">
        <v>298</v>
      </c>
      <c r="AQ71" s="35" t="s">
        <v>299</v>
      </c>
      <c r="AR71" s="34" t="s">
        <v>298</v>
      </c>
      <c r="AS71" s="35" t="s">
        <v>299</v>
      </c>
      <c r="AT71" s="34" t="s">
        <v>298</v>
      </c>
      <c r="AU71" s="35" t="s">
        <v>299</v>
      </c>
      <c r="AV71" s="34" t="s">
        <v>298</v>
      </c>
      <c r="AW71" s="35" t="s">
        <v>299</v>
      </c>
      <c r="AX71" s="34" t="s">
        <v>298</v>
      </c>
      <c r="AY71" s="35" t="s">
        <v>299</v>
      </c>
      <c r="AZ71" s="34" t="s">
        <v>298</v>
      </c>
      <c r="BA71" s="35" t="s">
        <v>299</v>
      </c>
      <c r="BB71" s="34" t="s">
        <v>298</v>
      </c>
      <c r="BC71" s="35" t="s">
        <v>299</v>
      </c>
      <c r="BD71" s="34" t="s">
        <v>298</v>
      </c>
      <c r="BE71" s="35" t="s">
        <v>299</v>
      </c>
      <c r="BF71" s="34" t="s">
        <v>298</v>
      </c>
      <c r="BG71" s="35" t="s">
        <v>299</v>
      </c>
      <c r="BH71" s="34" t="s">
        <v>298</v>
      </c>
      <c r="BI71" s="35" t="s">
        <v>299</v>
      </c>
      <c r="BJ71" s="34" t="s">
        <v>298</v>
      </c>
      <c r="BK71" s="35" t="s">
        <v>299</v>
      </c>
      <c r="BL71" s="34" t="s">
        <v>298</v>
      </c>
      <c r="BM71" s="35" t="s">
        <v>299</v>
      </c>
    </row>
    <row r="72" spans="1:65" x14ac:dyDescent="0.25">
      <c r="A72" s="24" t="s">
        <v>285</v>
      </c>
      <c r="B72" s="24"/>
      <c r="C72" s="24"/>
      <c r="D72" s="24"/>
      <c r="E72" s="24"/>
      <c r="F72" s="24"/>
      <c r="G72" s="24"/>
      <c r="H72" s="24">
        <v>607</v>
      </c>
      <c r="I72" s="24">
        <v>1099</v>
      </c>
      <c r="J72" s="24"/>
      <c r="K72" s="24"/>
      <c r="L72" s="24">
        <v>46</v>
      </c>
      <c r="M72" s="24">
        <v>115</v>
      </c>
      <c r="N72" s="24">
        <v>219</v>
      </c>
      <c r="O72" s="24">
        <v>383</v>
      </c>
      <c r="P72" s="24"/>
      <c r="Q72" s="24"/>
      <c r="R72" s="24">
        <v>3.05</v>
      </c>
      <c r="S72" s="24">
        <v>10.76</v>
      </c>
      <c r="T72" s="24">
        <v>164.84</v>
      </c>
      <c r="U72" s="24">
        <v>375.97</v>
      </c>
      <c r="V72" s="24">
        <v>420</v>
      </c>
      <c r="W72" s="24">
        <v>764</v>
      </c>
      <c r="X72" s="24">
        <v>840</v>
      </c>
      <c r="Y72" s="24">
        <v>1962</v>
      </c>
      <c r="Z72" s="24">
        <v>410</v>
      </c>
      <c r="AA72" s="24">
        <v>791</v>
      </c>
      <c r="AB72" s="24">
        <v>21</v>
      </c>
      <c r="AC72" s="24">
        <v>42</v>
      </c>
      <c r="AD72" s="24">
        <v>84</v>
      </c>
      <c r="AE72" s="24">
        <v>172</v>
      </c>
      <c r="AF72" s="47">
        <v>13</v>
      </c>
      <c r="AG72" s="24">
        <v>21</v>
      </c>
      <c r="AH72" s="24"/>
      <c r="AI72" s="24"/>
      <c r="AJ72" s="24"/>
      <c r="AK72" s="24"/>
      <c r="AL72" s="24"/>
      <c r="AM72" s="24"/>
      <c r="AN72" s="24"/>
      <c r="AO72" s="24"/>
      <c r="AP72" s="24">
        <v>8</v>
      </c>
      <c r="AQ72" s="24">
        <v>16</v>
      </c>
      <c r="AR72" s="24">
        <v>204</v>
      </c>
      <c r="AS72" s="24">
        <v>757</v>
      </c>
      <c r="AT72" s="24">
        <v>137</v>
      </c>
      <c r="AU72" s="24">
        <v>272</v>
      </c>
      <c r="AV72" s="24">
        <v>127</v>
      </c>
      <c r="AW72" s="24">
        <v>232</v>
      </c>
      <c r="AX72" s="24">
        <v>24</v>
      </c>
      <c r="AY72" s="24">
        <v>47</v>
      </c>
      <c r="AZ72" s="24"/>
      <c r="BA72" s="24"/>
      <c r="BB72" s="24">
        <v>308</v>
      </c>
      <c r="BC72" s="24">
        <v>635</v>
      </c>
      <c r="BD72" s="24"/>
      <c r="BE72" s="24"/>
      <c r="BF72" s="24">
        <v>578</v>
      </c>
      <c r="BG72" s="24">
        <v>1169</v>
      </c>
      <c r="BH72" s="24"/>
      <c r="BI72" s="24"/>
      <c r="BJ72" s="24">
        <v>48</v>
      </c>
      <c r="BK72" s="24">
        <v>55</v>
      </c>
      <c r="BL72" s="37">
        <f t="shared" ref="BL72:BM78" si="8">SUM(B72+D72+F72+H72+J72+L72+N72+P72+R72+T72+V72+X72+Z72+AB72+AD72+AF72+AH72+AJ72+AL72+AN72+AP72+AR72+AT72+AV72+AX72+AZ72+BB72+BD72+BF72+BH72+BJ72)</f>
        <v>4261.8899999999994</v>
      </c>
      <c r="BM72" s="37">
        <f t="shared" si="8"/>
        <v>8918.73</v>
      </c>
    </row>
    <row r="73" spans="1:65" x14ac:dyDescent="0.25">
      <c r="A73" s="24" t="s">
        <v>286</v>
      </c>
      <c r="B73" s="24"/>
      <c r="C73" s="24"/>
      <c r="D73" s="24"/>
      <c r="E73" s="24"/>
      <c r="F73" s="24"/>
      <c r="G73" s="24"/>
      <c r="H73" s="24">
        <v>174</v>
      </c>
      <c r="I73" s="24">
        <v>361</v>
      </c>
      <c r="J73" s="24"/>
      <c r="K73" s="24"/>
      <c r="L73" s="24">
        <v>8</v>
      </c>
      <c r="M73" s="24">
        <v>1</v>
      </c>
      <c r="N73" s="24">
        <v>-33</v>
      </c>
      <c r="O73" s="24">
        <v>2</v>
      </c>
      <c r="P73" s="24"/>
      <c r="Q73" s="24"/>
      <c r="R73" s="24"/>
      <c r="S73" s="24">
        <v>0.02</v>
      </c>
      <c r="T73" s="24">
        <v>12.21</v>
      </c>
      <c r="U73" s="24">
        <v>28.29</v>
      </c>
      <c r="V73" s="24">
        <v>138</v>
      </c>
      <c r="W73" s="24">
        <v>237</v>
      </c>
      <c r="X73" s="24">
        <v>192</v>
      </c>
      <c r="Y73" s="24">
        <v>400</v>
      </c>
      <c r="Z73" s="24">
        <v>176</v>
      </c>
      <c r="AA73" s="24">
        <v>257</v>
      </c>
      <c r="AB73" s="24">
        <v>6</v>
      </c>
      <c r="AC73" s="24">
        <v>13</v>
      </c>
      <c r="AD73" s="24">
        <v>9</v>
      </c>
      <c r="AE73" s="24">
        <v>18</v>
      </c>
      <c r="AF73" s="47">
        <v>8</v>
      </c>
      <c r="AG73" s="24">
        <v>10</v>
      </c>
      <c r="AH73" s="24"/>
      <c r="AI73" s="24"/>
      <c r="AJ73" s="24"/>
      <c r="AK73" s="24"/>
      <c r="AL73" s="24"/>
      <c r="AM73" s="24"/>
      <c r="AN73" s="24"/>
      <c r="AO73" s="24"/>
      <c r="AP73" s="24">
        <v>3</v>
      </c>
      <c r="AQ73" s="24">
        <v>4</v>
      </c>
      <c r="AR73" s="24">
        <v>59</v>
      </c>
      <c r="AS73" s="24">
        <v>142</v>
      </c>
      <c r="AT73" s="24">
        <v>36</v>
      </c>
      <c r="AU73" s="24">
        <v>72</v>
      </c>
      <c r="AV73" s="24">
        <v>37</v>
      </c>
      <c r="AW73" s="24">
        <v>68</v>
      </c>
      <c r="AX73" s="24">
        <v>4</v>
      </c>
      <c r="AY73" s="24">
        <v>8</v>
      </c>
      <c r="AZ73" s="24"/>
      <c r="BA73" s="24"/>
      <c r="BB73" s="24">
        <v>129</v>
      </c>
      <c r="BC73" s="24">
        <v>203</v>
      </c>
      <c r="BD73" s="24"/>
      <c r="BE73" s="24"/>
      <c r="BF73" s="24">
        <v>164</v>
      </c>
      <c r="BG73" s="24">
        <v>206</v>
      </c>
      <c r="BH73" s="24"/>
      <c r="BI73" s="24"/>
      <c r="BJ73" s="24">
        <v>7</v>
      </c>
      <c r="BK73" s="24">
        <v>7</v>
      </c>
      <c r="BL73" s="37">
        <f t="shared" si="8"/>
        <v>1129.21</v>
      </c>
      <c r="BM73" s="37">
        <f t="shared" si="8"/>
        <v>2037.31</v>
      </c>
    </row>
    <row r="74" spans="1:65" x14ac:dyDescent="0.25">
      <c r="A74" s="24" t="s">
        <v>287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47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>
        <v>0</v>
      </c>
      <c r="BG74" s="24">
        <v>0</v>
      </c>
      <c r="BH74" s="24"/>
      <c r="BI74" s="24"/>
      <c r="BJ74" s="24"/>
      <c r="BK74" s="24"/>
      <c r="BL74" s="37">
        <f t="shared" si="8"/>
        <v>0</v>
      </c>
      <c r="BM74" s="37">
        <f t="shared" si="8"/>
        <v>0</v>
      </c>
    </row>
    <row r="75" spans="1:65" s="4" customFormat="1" x14ac:dyDescent="0.25">
      <c r="A75" s="26" t="s">
        <v>288</v>
      </c>
      <c r="B75" s="26"/>
      <c r="C75" s="26"/>
      <c r="D75" s="26"/>
      <c r="E75" s="26"/>
      <c r="F75" s="26"/>
      <c r="G75" s="26"/>
      <c r="H75" s="26">
        <v>781</v>
      </c>
      <c r="I75" s="26">
        <v>1459</v>
      </c>
      <c r="J75" s="26"/>
      <c r="K75" s="26"/>
      <c r="L75" s="26">
        <v>54</v>
      </c>
      <c r="M75" s="26">
        <v>116</v>
      </c>
      <c r="N75" s="26">
        <v>186</v>
      </c>
      <c r="O75" s="26">
        <v>385</v>
      </c>
      <c r="P75" s="26"/>
      <c r="Q75" s="26"/>
      <c r="R75" s="26">
        <v>3.05</v>
      </c>
      <c r="S75" s="26">
        <v>10.78</v>
      </c>
      <c r="T75" s="26">
        <v>177.05</v>
      </c>
      <c r="U75" s="26">
        <v>404.26</v>
      </c>
      <c r="V75" s="26">
        <v>558</v>
      </c>
      <c r="W75" s="26">
        <v>1001</v>
      </c>
      <c r="X75" s="26">
        <v>1032</v>
      </c>
      <c r="Y75" s="26">
        <v>2362</v>
      </c>
      <c r="Z75" s="26">
        <v>586</v>
      </c>
      <c r="AA75" s="26">
        <v>1048</v>
      </c>
      <c r="AB75" s="26">
        <v>27</v>
      </c>
      <c r="AC75" s="26">
        <v>55</v>
      </c>
      <c r="AD75" s="26">
        <v>92</v>
      </c>
      <c r="AE75" s="26">
        <v>190</v>
      </c>
      <c r="AF75" s="26">
        <v>21</v>
      </c>
      <c r="AG75" s="26">
        <v>30</v>
      </c>
      <c r="AH75" s="26"/>
      <c r="AI75" s="26"/>
      <c r="AJ75" s="26">
        <v>848</v>
      </c>
      <c r="AK75" s="26">
        <v>1769</v>
      </c>
      <c r="AL75" s="26"/>
      <c r="AM75" s="26"/>
      <c r="AN75" s="26"/>
      <c r="AO75" s="26"/>
      <c r="AP75" s="26">
        <v>11</v>
      </c>
      <c r="AQ75" s="26">
        <v>19</v>
      </c>
      <c r="AR75" s="26">
        <v>263</v>
      </c>
      <c r="AS75" s="26">
        <v>898</v>
      </c>
      <c r="AT75" s="26">
        <v>172</v>
      </c>
      <c r="AU75" s="26">
        <v>344</v>
      </c>
      <c r="AV75" s="26">
        <v>164</v>
      </c>
      <c r="AW75" s="26">
        <v>300</v>
      </c>
      <c r="AX75" s="26">
        <v>28</v>
      </c>
      <c r="AY75" s="26">
        <v>55</v>
      </c>
      <c r="AZ75" s="26"/>
      <c r="BA75" s="26"/>
      <c r="BB75" s="26">
        <v>437</v>
      </c>
      <c r="BC75" s="26">
        <v>838</v>
      </c>
      <c r="BD75" s="26">
        <v>2605</v>
      </c>
      <c r="BE75" s="26">
        <v>5306</v>
      </c>
      <c r="BF75" s="26">
        <v>742</v>
      </c>
      <c r="BG75" s="26">
        <v>1375</v>
      </c>
      <c r="BH75" s="26">
        <v>1144</v>
      </c>
      <c r="BI75" s="26">
        <v>2260</v>
      </c>
      <c r="BJ75" s="26">
        <v>55</v>
      </c>
      <c r="BK75" s="26">
        <v>62</v>
      </c>
      <c r="BL75" s="39">
        <f t="shared" si="8"/>
        <v>9986.1</v>
      </c>
      <c r="BM75" s="39">
        <f t="shared" si="8"/>
        <v>20287.04</v>
      </c>
    </row>
    <row r="76" spans="1:65" x14ac:dyDescent="0.25">
      <c r="A76" s="24" t="s">
        <v>289</v>
      </c>
      <c r="B76" s="24"/>
      <c r="C76" s="24"/>
      <c r="D76" s="24"/>
      <c r="E76" s="24"/>
      <c r="F76" s="24"/>
      <c r="G76" s="24"/>
      <c r="H76" s="24">
        <v>32</v>
      </c>
      <c r="I76" s="24">
        <v>33</v>
      </c>
      <c r="J76" s="24"/>
      <c r="K76" s="24"/>
      <c r="L76" s="24">
        <v>1</v>
      </c>
      <c r="M76" s="24">
        <v>2</v>
      </c>
      <c r="N76" s="24">
        <v>95</v>
      </c>
      <c r="O76" s="24">
        <v>108</v>
      </c>
      <c r="P76" s="24"/>
      <c r="Q76" s="24"/>
      <c r="R76" s="24">
        <v>2.4900000000000002</v>
      </c>
      <c r="S76" s="24">
        <v>4.2699999999999996</v>
      </c>
      <c r="T76" s="24">
        <v>30.84</v>
      </c>
      <c r="U76" s="24">
        <v>58.68</v>
      </c>
      <c r="V76" s="24">
        <v>20</v>
      </c>
      <c r="W76" s="24">
        <v>50</v>
      </c>
      <c r="X76" s="24">
        <v>75</v>
      </c>
      <c r="Y76" s="24">
        <v>112</v>
      </c>
      <c r="Z76" s="24">
        <v>24</v>
      </c>
      <c r="AA76" s="24">
        <v>24</v>
      </c>
      <c r="AB76" s="24">
        <v>2</v>
      </c>
      <c r="AC76" s="24">
        <v>4</v>
      </c>
      <c r="AD76" s="24">
        <v>0</v>
      </c>
      <c r="AE76" s="24">
        <v>1</v>
      </c>
      <c r="AF76" s="47">
        <v>10</v>
      </c>
      <c r="AG76" s="24">
        <v>16</v>
      </c>
      <c r="AH76" s="24"/>
      <c r="AI76" s="24"/>
      <c r="AJ76" s="24">
        <v>91</v>
      </c>
      <c r="AK76" s="24">
        <v>140</v>
      </c>
      <c r="AL76" s="24"/>
      <c r="AM76" s="24"/>
      <c r="AN76" s="24"/>
      <c r="AO76" s="24"/>
      <c r="AP76" s="24">
        <v>1</v>
      </c>
      <c r="AQ76" s="24">
        <v>8</v>
      </c>
      <c r="AR76" s="24"/>
      <c r="AS76" s="24">
        <v>15</v>
      </c>
      <c r="AT76" s="24">
        <v>29</v>
      </c>
      <c r="AU76" s="24">
        <v>50</v>
      </c>
      <c r="AV76" s="24">
        <v>2</v>
      </c>
      <c r="AW76" s="24">
        <v>5</v>
      </c>
      <c r="AX76" s="24">
        <v>2</v>
      </c>
      <c r="AY76" s="24">
        <v>19</v>
      </c>
      <c r="AZ76" s="24"/>
      <c r="BA76" s="24"/>
      <c r="BB76" s="24">
        <v>24</v>
      </c>
      <c r="BC76" s="24">
        <v>42</v>
      </c>
      <c r="BD76" s="24">
        <v>190</v>
      </c>
      <c r="BE76" s="24">
        <v>362</v>
      </c>
      <c r="BF76" s="24">
        <v>207</v>
      </c>
      <c r="BG76" s="24">
        <v>443</v>
      </c>
      <c r="BH76" s="24">
        <v>59</v>
      </c>
      <c r="BI76" s="24">
        <v>190</v>
      </c>
      <c r="BJ76" s="24">
        <v>1</v>
      </c>
      <c r="BK76" s="24">
        <v>5</v>
      </c>
      <c r="BL76" s="37">
        <f t="shared" si="8"/>
        <v>898.33</v>
      </c>
      <c r="BM76" s="37">
        <f t="shared" si="8"/>
        <v>1691.95</v>
      </c>
    </row>
    <row r="77" spans="1:65" x14ac:dyDescent="0.25">
      <c r="A77" s="24" t="s">
        <v>290</v>
      </c>
      <c r="B77" s="24"/>
      <c r="C77" s="24"/>
      <c r="D77" s="24"/>
      <c r="E77" s="24"/>
      <c r="F77" s="24"/>
      <c r="G77" s="24"/>
      <c r="H77" s="24">
        <v>-1243</v>
      </c>
      <c r="I77" s="24">
        <v>-2300</v>
      </c>
      <c r="J77" s="24"/>
      <c r="K77" s="24"/>
      <c r="L77" s="24">
        <v>83</v>
      </c>
      <c r="M77" s="24">
        <v>167</v>
      </c>
      <c r="N77" s="24">
        <v>-342</v>
      </c>
      <c r="O77" s="24">
        <v>-705</v>
      </c>
      <c r="P77" s="24"/>
      <c r="Q77" s="24"/>
      <c r="R77" s="24">
        <v>20.440000000000001</v>
      </c>
      <c r="S77" s="24">
        <v>55.88</v>
      </c>
      <c r="T77" s="24">
        <v>368.32</v>
      </c>
      <c r="U77" s="24">
        <v>753.82</v>
      </c>
      <c r="V77" s="24">
        <v>-1085</v>
      </c>
      <c r="W77" s="24">
        <v>-1997</v>
      </c>
      <c r="X77" s="24">
        <v>1873</v>
      </c>
      <c r="Y77" s="24">
        <v>3759</v>
      </c>
      <c r="Z77" s="24">
        <v>435</v>
      </c>
      <c r="AA77" s="24">
        <v>901</v>
      </c>
      <c r="AB77" s="24">
        <v>29</v>
      </c>
      <c r="AC77" s="24">
        <v>60</v>
      </c>
      <c r="AD77" s="24">
        <v>116</v>
      </c>
      <c r="AE77" s="24">
        <v>263</v>
      </c>
      <c r="AF77" s="47">
        <v>-44</v>
      </c>
      <c r="AG77" s="24">
        <v>-56</v>
      </c>
      <c r="AH77" s="24"/>
      <c r="AI77" s="24"/>
      <c r="AJ77" s="24">
        <v>288</v>
      </c>
      <c r="AK77" s="24">
        <v>747</v>
      </c>
      <c r="AL77" s="24"/>
      <c r="AM77" s="24"/>
      <c r="AN77" s="24"/>
      <c r="AO77" s="24"/>
      <c r="AP77" s="24">
        <v>9</v>
      </c>
      <c r="AQ77" s="24">
        <v>21</v>
      </c>
      <c r="AR77" s="24">
        <v>282</v>
      </c>
      <c r="AS77" s="24">
        <v>822</v>
      </c>
      <c r="AT77" s="24">
        <v>350</v>
      </c>
      <c r="AU77" s="24">
        <v>784</v>
      </c>
      <c r="AV77" s="24">
        <v>486</v>
      </c>
      <c r="AW77" s="24">
        <v>671</v>
      </c>
      <c r="AX77" s="24">
        <v>60</v>
      </c>
      <c r="AY77" s="24">
        <v>111</v>
      </c>
      <c r="AZ77" s="24"/>
      <c r="BA77" s="24"/>
      <c r="BB77" s="24">
        <v>965</v>
      </c>
      <c r="BC77" s="24">
        <v>1858</v>
      </c>
      <c r="BD77" s="24">
        <v>2101</v>
      </c>
      <c r="BE77" s="24">
        <v>3686</v>
      </c>
      <c r="BF77" s="24">
        <v>320</v>
      </c>
      <c r="BG77" s="24">
        <v>681</v>
      </c>
      <c r="BH77" s="24">
        <v>287</v>
      </c>
      <c r="BI77" s="24">
        <v>529</v>
      </c>
      <c r="BJ77" s="24">
        <v>89</v>
      </c>
      <c r="BK77" s="24">
        <v>122</v>
      </c>
      <c r="BL77" s="37">
        <f t="shared" si="8"/>
        <v>5447.76</v>
      </c>
      <c r="BM77" s="37">
        <f t="shared" si="8"/>
        <v>10933.7</v>
      </c>
    </row>
    <row r="78" spans="1:65" s="4" customFormat="1" x14ac:dyDescent="0.25">
      <c r="A78" s="26" t="s">
        <v>190</v>
      </c>
      <c r="B78" s="26"/>
      <c r="C78" s="26"/>
      <c r="D78" s="26"/>
      <c r="E78" s="26"/>
      <c r="F78" s="26"/>
      <c r="G78" s="26"/>
      <c r="H78" s="26">
        <v>-430</v>
      </c>
      <c r="I78" s="26">
        <v>-809</v>
      </c>
      <c r="J78" s="26"/>
      <c r="K78" s="26"/>
      <c r="L78" s="26">
        <v>-28</v>
      </c>
      <c r="M78" s="26">
        <v>-48</v>
      </c>
      <c r="N78" s="26">
        <v>-61</v>
      </c>
      <c r="O78" s="26">
        <v>-212</v>
      </c>
      <c r="P78" s="26"/>
      <c r="Q78" s="26"/>
      <c r="R78" s="26">
        <v>-14.9</v>
      </c>
      <c r="S78" s="26">
        <v>-40.83</v>
      </c>
      <c r="T78" s="26">
        <v>-160.43</v>
      </c>
      <c r="U78" s="26">
        <v>-290.88</v>
      </c>
      <c r="V78" s="26">
        <v>-508</v>
      </c>
      <c r="W78" s="26">
        <v>-946</v>
      </c>
      <c r="X78" s="26">
        <v>-766</v>
      </c>
      <c r="Y78" s="26">
        <v>-1285</v>
      </c>
      <c r="Z78" s="26">
        <v>175</v>
      </c>
      <c r="AA78" s="26">
        <v>171</v>
      </c>
      <c r="AB78" s="26">
        <v>0</v>
      </c>
      <c r="AC78" s="26">
        <v>-1</v>
      </c>
      <c r="AD78" s="26">
        <v>-24</v>
      </c>
      <c r="AE78" s="26">
        <v>-72</v>
      </c>
      <c r="AF78" s="26">
        <v>-13</v>
      </c>
      <c r="AG78" s="26">
        <v>-10</v>
      </c>
      <c r="AH78" s="26"/>
      <c r="AI78" s="26"/>
      <c r="AJ78" s="26">
        <v>651</v>
      </c>
      <c r="AK78" s="26">
        <v>1162</v>
      </c>
      <c r="AL78" s="26"/>
      <c r="AM78" s="26"/>
      <c r="AN78" s="26"/>
      <c r="AO78" s="26"/>
      <c r="AP78" s="26">
        <v>3</v>
      </c>
      <c r="AQ78" s="26">
        <v>6</v>
      </c>
      <c r="AR78" s="26">
        <v>-19</v>
      </c>
      <c r="AS78" s="26">
        <v>91</v>
      </c>
      <c r="AT78" s="26">
        <v>-149</v>
      </c>
      <c r="AU78" s="26">
        <v>-390</v>
      </c>
      <c r="AV78" s="26">
        <v>-320</v>
      </c>
      <c r="AW78" s="26">
        <v>-366</v>
      </c>
      <c r="AX78" s="26">
        <v>-29</v>
      </c>
      <c r="AY78" s="26">
        <v>-37</v>
      </c>
      <c r="AZ78" s="26"/>
      <c r="BA78" s="26"/>
      <c r="BB78" s="26">
        <v>-503</v>
      </c>
      <c r="BC78" s="26">
        <v>-979</v>
      </c>
      <c r="BD78" s="26">
        <v>694</v>
      </c>
      <c r="BE78" s="26">
        <v>1982</v>
      </c>
      <c r="BF78" s="26">
        <v>629</v>
      </c>
      <c r="BG78" s="26">
        <v>1137</v>
      </c>
      <c r="BH78" s="26">
        <v>916</v>
      </c>
      <c r="BI78" s="26">
        <v>1921</v>
      </c>
      <c r="BJ78" s="26">
        <v>-33</v>
      </c>
      <c r="BK78" s="26">
        <v>-54</v>
      </c>
      <c r="BL78" s="39">
        <f t="shared" si="8"/>
        <v>9.6700000000000728</v>
      </c>
      <c r="BM78" s="39">
        <f t="shared" si="8"/>
        <v>929.29</v>
      </c>
    </row>
    <row r="80" spans="1:65" x14ac:dyDescent="0.25">
      <c r="A80" s="7" t="s">
        <v>188</v>
      </c>
    </row>
    <row r="81" spans="1:65" x14ac:dyDescent="0.25">
      <c r="A81" s="38" t="s">
        <v>0</v>
      </c>
      <c r="B81" s="94" t="s">
        <v>1</v>
      </c>
      <c r="C81" s="95"/>
      <c r="D81" s="94" t="s">
        <v>232</v>
      </c>
      <c r="E81" s="95"/>
      <c r="F81" s="94" t="s">
        <v>2</v>
      </c>
      <c r="G81" s="95"/>
      <c r="H81" s="94" t="s">
        <v>3</v>
      </c>
      <c r="I81" s="95"/>
      <c r="J81" s="94" t="s">
        <v>241</v>
      </c>
      <c r="K81" s="95"/>
      <c r="L81" s="94" t="s">
        <v>233</v>
      </c>
      <c r="M81" s="95"/>
      <c r="N81" s="94" t="s">
        <v>246</v>
      </c>
      <c r="O81" s="95"/>
      <c r="P81" s="94" t="s">
        <v>5</v>
      </c>
      <c r="Q81" s="95"/>
      <c r="R81" s="94" t="s">
        <v>4</v>
      </c>
      <c r="S81" s="95"/>
      <c r="T81" s="94" t="s">
        <v>6</v>
      </c>
      <c r="U81" s="95"/>
      <c r="V81" s="94" t="s">
        <v>7</v>
      </c>
      <c r="W81" s="95"/>
      <c r="X81" s="94" t="s">
        <v>8</v>
      </c>
      <c r="Y81" s="95"/>
      <c r="Z81" s="94" t="s">
        <v>9</v>
      </c>
      <c r="AA81" s="95"/>
      <c r="AB81" s="94" t="s">
        <v>240</v>
      </c>
      <c r="AC81" s="95"/>
      <c r="AD81" s="94" t="s">
        <v>10</v>
      </c>
      <c r="AE81" s="95"/>
      <c r="AF81" s="94" t="s">
        <v>11</v>
      </c>
      <c r="AG81" s="95"/>
      <c r="AH81" s="94" t="s">
        <v>234</v>
      </c>
      <c r="AI81" s="95"/>
      <c r="AJ81" s="94" t="s">
        <v>12</v>
      </c>
      <c r="AK81" s="95"/>
      <c r="AL81" s="94" t="s">
        <v>235</v>
      </c>
      <c r="AM81" s="95"/>
      <c r="AN81" s="94" t="s">
        <v>300</v>
      </c>
      <c r="AO81" s="95"/>
      <c r="AP81" s="94" t="s">
        <v>236</v>
      </c>
      <c r="AQ81" s="95"/>
      <c r="AR81" s="94" t="s">
        <v>239</v>
      </c>
      <c r="AS81" s="95"/>
      <c r="AT81" s="94" t="s">
        <v>13</v>
      </c>
      <c r="AU81" s="95"/>
      <c r="AV81" s="94" t="s">
        <v>14</v>
      </c>
      <c r="AW81" s="95"/>
      <c r="AX81" s="94" t="s">
        <v>15</v>
      </c>
      <c r="AY81" s="95"/>
      <c r="AZ81" s="94" t="s">
        <v>16</v>
      </c>
      <c r="BA81" s="95"/>
      <c r="BB81" s="94" t="s">
        <v>17</v>
      </c>
      <c r="BC81" s="95"/>
      <c r="BD81" s="94" t="s">
        <v>237</v>
      </c>
      <c r="BE81" s="95"/>
      <c r="BF81" s="94" t="s">
        <v>238</v>
      </c>
      <c r="BG81" s="95"/>
      <c r="BH81" s="94" t="s">
        <v>18</v>
      </c>
      <c r="BI81" s="95"/>
      <c r="BJ81" s="94" t="s">
        <v>19</v>
      </c>
      <c r="BK81" s="95"/>
      <c r="BL81" s="96" t="s">
        <v>20</v>
      </c>
      <c r="BM81" s="97"/>
    </row>
    <row r="82" spans="1:65" ht="30" x14ac:dyDescent="0.25">
      <c r="A82" s="38"/>
      <c r="B82" s="34" t="s">
        <v>298</v>
      </c>
      <c r="C82" s="35" t="s">
        <v>299</v>
      </c>
      <c r="D82" s="34" t="s">
        <v>298</v>
      </c>
      <c r="E82" s="35" t="s">
        <v>299</v>
      </c>
      <c r="F82" s="34" t="s">
        <v>298</v>
      </c>
      <c r="G82" s="35" t="s">
        <v>299</v>
      </c>
      <c r="H82" s="34" t="s">
        <v>298</v>
      </c>
      <c r="I82" s="35" t="s">
        <v>299</v>
      </c>
      <c r="J82" s="34" t="s">
        <v>298</v>
      </c>
      <c r="K82" s="35" t="s">
        <v>299</v>
      </c>
      <c r="L82" s="34" t="s">
        <v>298</v>
      </c>
      <c r="M82" s="35" t="s">
        <v>299</v>
      </c>
      <c r="N82" s="34" t="s">
        <v>298</v>
      </c>
      <c r="O82" s="35" t="s">
        <v>299</v>
      </c>
      <c r="P82" s="34" t="s">
        <v>298</v>
      </c>
      <c r="Q82" s="35" t="s">
        <v>299</v>
      </c>
      <c r="R82" s="34" t="s">
        <v>298</v>
      </c>
      <c r="S82" s="35" t="s">
        <v>299</v>
      </c>
      <c r="T82" s="34" t="s">
        <v>298</v>
      </c>
      <c r="U82" s="35" t="s">
        <v>299</v>
      </c>
      <c r="V82" s="34" t="s">
        <v>298</v>
      </c>
      <c r="W82" s="35" t="s">
        <v>299</v>
      </c>
      <c r="X82" s="34" t="s">
        <v>298</v>
      </c>
      <c r="Y82" s="35" t="s">
        <v>299</v>
      </c>
      <c r="Z82" s="34" t="s">
        <v>298</v>
      </c>
      <c r="AA82" s="35" t="s">
        <v>299</v>
      </c>
      <c r="AB82" s="34" t="s">
        <v>298</v>
      </c>
      <c r="AC82" s="35" t="s">
        <v>299</v>
      </c>
      <c r="AD82" s="34" t="s">
        <v>298</v>
      </c>
      <c r="AE82" s="35" t="s">
        <v>299</v>
      </c>
      <c r="AF82" s="34" t="s">
        <v>298</v>
      </c>
      <c r="AG82" s="35" t="s">
        <v>299</v>
      </c>
      <c r="AH82" s="34" t="s">
        <v>298</v>
      </c>
      <c r="AI82" s="35" t="s">
        <v>299</v>
      </c>
      <c r="AJ82" s="34" t="s">
        <v>298</v>
      </c>
      <c r="AK82" s="35" t="s">
        <v>299</v>
      </c>
      <c r="AL82" s="34" t="s">
        <v>298</v>
      </c>
      <c r="AM82" s="35" t="s">
        <v>299</v>
      </c>
      <c r="AN82" s="34" t="s">
        <v>298</v>
      </c>
      <c r="AO82" s="35" t="s">
        <v>299</v>
      </c>
      <c r="AP82" s="34" t="s">
        <v>298</v>
      </c>
      <c r="AQ82" s="35" t="s">
        <v>299</v>
      </c>
      <c r="AR82" s="34" t="s">
        <v>298</v>
      </c>
      <c r="AS82" s="35" t="s">
        <v>299</v>
      </c>
      <c r="AT82" s="34" t="s">
        <v>298</v>
      </c>
      <c r="AU82" s="35" t="s">
        <v>299</v>
      </c>
      <c r="AV82" s="34" t="s">
        <v>298</v>
      </c>
      <c r="AW82" s="35" t="s">
        <v>299</v>
      </c>
      <c r="AX82" s="34" t="s">
        <v>298</v>
      </c>
      <c r="AY82" s="35" t="s">
        <v>299</v>
      </c>
      <c r="AZ82" s="34" t="s">
        <v>298</v>
      </c>
      <c r="BA82" s="35" t="s">
        <v>299</v>
      </c>
      <c r="BB82" s="34" t="s">
        <v>298</v>
      </c>
      <c r="BC82" s="35" t="s">
        <v>299</v>
      </c>
      <c r="BD82" s="34" t="s">
        <v>298</v>
      </c>
      <c r="BE82" s="35" t="s">
        <v>299</v>
      </c>
      <c r="BF82" s="34" t="s">
        <v>298</v>
      </c>
      <c r="BG82" s="35" t="s">
        <v>299</v>
      </c>
      <c r="BH82" s="34" t="s">
        <v>298</v>
      </c>
      <c r="BI82" s="35" t="s">
        <v>299</v>
      </c>
      <c r="BJ82" s="34" t="s">
        <v>298</v>
      </c>
      <c r="BK82" s="35" t="s">
        <v>299</v>
      </c>
      <c r="BL82" s="34" t="s">
        <v>298</v>
      </c>
      <c r="BM82" s="35" t="s">
        <v>299</v>
      </c>
    </row>
    <row r="83" spans="1:65" x14ac:dyDescent="0.25">
      <c r="A83" s="24" t="s">
        <v>285</v>
      </c>
      <c r="B83" s="24"/>
      <c r="C83" s="24"/>
      <c r="D83" s="24"/>
      <c r="E83" s="24"/>
      <c r="F83" s="24"/>
      <c r="G83" s="24"/>
      <c r="H83" s="24">
        <v>21</v>
      </c>
      <c r="I83" s="24">
        <v>48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>
        <v>0.1</v>
      </c>
      <c r="U83" s="24">
        <v>0.71</v>
      </c>
      <c r="V83" s="24">
        <v>2</v>
      </c>
      <c r="W83" s="24">
        <v>2</v>
      </c>
      <c r="X83" s="24">
        <v>43</v>
      </c>
      <c r="Y83" s="24">
        <v>92</v>
      </c>
      <c r="Z83" s="24"/>
      <c r="AA83" s="24"/>
      <c r="AB83" s="24"/>
      <c r="AC83" s="24"/>
      <c r="AD83" s="24"/>
      <c r="AE83" s="24"/>
      <c r="AF83" s="47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>
        <v>-43</v>
      </c>
      <c r="AS83" s="24">
        <v>23</v>
      </c>
      <c r="AT83" s="24"/>
      <c r="AU83" s="24"/>
      <c r="AV83" s="24">
        <v>1</v>
      </c>
      <c r="AW83" s="24">
        <v>2</v>
      </c>
      <c r="AX83" s="24"/>
      <c r="AY83" s="24"/>
      <c r="AZ83" s="24"/>
      <c r="BA83" s="24"/>
      <c r="BB83" s="24"/>
      <c r="BC83" s="24"/>
      <c r="BD83" s="24"/>
      <c r="BE83" s="24"/>
      <c r="BF83" s="24">
        <v>68</v>
      </c>
      <c r="BG83" s="24">
        <v>114</v>
      </c>
      <c r="BH83" s="24"/>
      <c r="BI83" s="24"/>
      <c r="BJ83" s="24"/>
      <c r="BK83" s="24"/>
      <c r="BL83" s="37">
        <f t="shared" ref="BL83:BM89" si="9">SUM(B83+D83+F83+H83+J83+L83+N83+P83+R83+T83+V83+X83+Z83+AB83+AD83+AF83+AH83+AJ83+AL83+AN83+AP83+AR83+AT83+AV83+AX83+AZ83+BB83+BD83+BF83+BH83+BJ83)</f>
        <v>92.1</v>
      </c>
      <c r="BM83" s="37">
        <f t="shared" si="9"/>
        <v>281.71000000000004</v>
      </c>
    </row>
    <row r="84" spans="1:65" x14ac:dyDescent="0.25">
      <c r="A84" s="24" t="s">
        <v>286</v>
      </c>
      <c r="B84" s="24"/>
      <c r="C84" s="24"/>
      <c r="D84" s="24"/>
      <c r="E84" s="24"/>
      <c r="F84" s="24"/>
      <c r="G84" s="24"/>
      <c r="H84" s="24">
        <v>-3</v>
      </c>
      <c r="I84" s="24">
        <v>0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>
        <v>-0.7</v>
      </c>
      <c r="U84" s="24">
        <v>0.21</v>
      </c>
      <c r="V84" s="24"/>
      <c r="W84" s="24"/>
      <c r="X84" s="24">
        <v>5</v>
      </c>
      <c r="Y84" s="24">
        <v>11</v>
      </c>
      <c r="Z84" s="24"/>
      <c r="AA84" s="24"/>
      <c r="AB84" s="24"/>
      <c r="AC84" s="24"/>
      <c r="AD84" s="24"/>
      <c r="AE84" s="24"/>
      <c r="AF84" s="47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>
        <v>3</v>
      </c>
      <c r="AS84" s="24">
        <v>3</v>
      </c>
      <c r="AT84" s="24"/>
      <c r="AU84" s="24"/>
      <c r="AV84" s="24">
        <v>0</v>
      </c>
      <c r="AW84" s="24">
        <v>1</v>
      </c>
      <c r="AX84" s="24"/>
      <c r="AY84" s="24"/>
      <c r="AZ84" s="24"/>
      <c r="BA84" s="24"/>
      <c r="BB84" s="24"/>
      <c r="BC84" s="24"/>
      <c r="BD84" s="24"/>
      <c r="BE84" s="24"/>
      <c r="BF84" s="24">
        <v>5</v>
      </c>
      <c r="BG84" s="24">
        <v>7</v>
      </c>
      <c r="BH84" s="24"/>
      <c r="BI84" s="24"/>
      <c r="BJ84" s="24"/>
      <c r="BK84" s="24"/>
      <c r="BL84" s="37">
        <f t="shared" si="9"/>
        <v>9.3000000000000007</v>
      </c>
      <c r="BM84" s="37">
        <f t="shared" si="9"/>
        <v>22.21</v>
      </c>
    </row>
    <row r="85" spans="1:65" x14ac:dyDescent="0.25">
      <c r="A85" s="24" t="s">
        <v>287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47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>
        <v>0</v>
      </c>
      <c r="BG85" s="24">
        <v>0</v>
      </c>
      <c r="BH85" s="24"/>
      <c r="BI85" s="24"/>
      <c r="BJ85" s="24"/>
      <c r="BK85" s="24"/>
      <c r="BL85" s="37">
        <f t="shared" si="9"/>
        <v>0</v>
      </c>
      <c r="BM85" s="37">
        <f t="shared" si="9"/>
        <v>0</v>
      </c>
    </row>
    <row r="86" spans="1:65" s="4" customFormat="1" x14ac:dyDescent="0.25">
      <c r="A86" s="26" t="s">
        <v>288</v>
      </c>
      <c r="B86" s="26"/>
      <c r="C86" s="26"/>
      <c r="D86" s="26"/>
      <c r="E86" s="26"/>
      <c r="F86" s="26"/>
      <c r="G86" s="26"/>
      <c r="H86" s="26">
        <v>18</v>
      </c>
      <c r="I86" s="26">
        <v>48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>
        <v>-0.6</v>
      </c>
      <c r="U86" s="26">
        <v>0.93</v>
      </c>
      <c r="V86" s="26">
        <v>2</v>
      </c>
      <c r="W86" s="26">
        <v>2</v>
      </c>
      <c r="X86" s="26">
        <v>48</v>
      </c>
      <c r="Y86" s="26">
        <v>103</v>
      </c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>
        <v>21</v>
      </c>
      <c r="AK86" s="26">
        <v>44</v>
      </c>
      <c r="AL86" s="26"/>
      <c r="AM86" s="26"/>
      <c r="AN86" s="26"/>
      <c r="AO86" s="26"/>
      <c r="AP86" s="26"/>
      <c r="AQ86" s="26"/>
      <c r="AR86" s="26">
        <v>-40</v>
      </c>
      <c r="AS86" s="26">
        <v>26</v>
      </c>
      <c r="AT86" s="26"/>
      <c r="AU86" s="26"/>
      <c r="AV86" s="26">
        <v>2</v>
      </c>
      <c r="AW86" s="26">
        <v>2</v>
      </c>
      <c r="AX86" s="26"/>
      <c r="AY86" s="26"/>
      <c r="AZ86" s="26"/>
      <c r="BA86" s="26"/>
      <c r="BB86" s="26"/>
      <c r="BC86" s="26"/>
      <c r="BD86" s="26">
        <v>98</v>
      </c>
      <c r="BE86" s="26">
        <v>112</v>
      </c>
      <c r="BF86" s="26">
        <v>73</v>
      </c>
      <c r="BG86" s="26">
        <v>121</v>
      </c>
      <c r="BH86" s="26">
        <v>43</v>
      </c>
      <c r="BI86" s="26">
        <v>89</v>
      </c>
      <c r="BJ86" s="26"/>
      <c r="BK86" s="26"/>
      <c r="BL86" s="39">
        <f t="shared" si="9"/>
        <v>264.39999999999998</v>
      </c>
      <c r="BM86" s="39">
        <f t="shared" si="9"/>
        <v>547.93000000000006</v>
      </c>
    </row>
    <row r="87" spans="1:65" x14ac:dyDescent="0.25">
      <c r="A87" s="24" t="s">
        <v>289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>
        <v>4</v>
      </c>
      <c r="Y87" s="24">
        <v>22</v>
      </c>
      <c r="Z87" s="24"/>
      <c r="AA87" s="24"/>
      <c r="AB87" s="24"/>
      <c r="AC87" s="24"/>
      <c r="AD87" s="24"/>
      <c r="AE87" s="24"/>
      <c r="AF87" s="47"/>
      <c r="AG87" s="24"/>
      <c r="AH87" s="24"/>
      <c r="AI87" s="24"/>
      <c r="AJ87" s="24">
        <v>117</v>
      </c>
      <c r="AK87" s="24">
        <v>196</v>
      </c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>
        <v>178</v>
      </c>
      <c r="BE87" s="24">
        <v>436</v>
      </c>
      <c r="BF87" s="24">
        <v>269</v>
      </c>
      <c r="BG87" s="24">
        <v>380</v>
      </c>
      <c r="BH87" s="24">
        <v>21</v>
      </c>
      <c r="BI87" s="24">
        <v>288</v>
      </c>
      <c r="BJ87" s="24"/>
      <c r="BK87" s="24"/>
      <c r="BL87" s="37">
        <f t="shared" si="9"/>
        <v>589</v>
      </c>
      <c r="BM87" s="37">
        <f t="shared" si="9"/>
        <v>1322</v>
      </c>
    </row>
    <row r="88" spans="1:65" x14ac:dyDescent="0.25">
      <c r="A88" s="24" t="s">
        <v>290</v>
      </c>
      <c r="B88" s="24"/>
      <c r="C88" s="24"/>
      <c r="D88" s="24"/>
      <c r="E88" s="24"/>
      <c r="F88" s="24"/>
      <c r="G88" s="24"/>
      <c r="H88" s="24">
        <v>-9</v>
      </c>
      <c r="I88" s="24">
        <v>-24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>
        <v>0.97</v>
      </c>
      <c r="U88" s="24">
        <v>1.19</v>
      </c>
      <c r="V88" s="24">
        <v>-18</v>
      </c>
      <c r="W88" s="24">
        <v>-32</v>
      </c>
      <c r="X88" s="24">
        <v>92</v>
      </c>
      <c r="Y88" s="24">
        <v>171</v>
      </c>
      <c r="Z88" s="24"/>
      <c r="AA88" s="24"/>
      <c r="AB88" s="24"/>
      <c r="AC88" s="24"/>
      <c r="AD88" s="24"/>
      <c r="AE88" s="24"/>
      <c r="AF88" s="47"/>
      <c r="AG88" s="24"/>
      <c r="AH88" s="24"/>
      <c r="AI88" s="24"/>
      <c r="AJ88" s="24">
        <v>5</v>
      </c>
      <c r="AK88" s="24">
        <v>17</v>
      </c>
      <c r="AL88" s="24"/>
      <c r="AM88" s="24"/>
      <c r="AN88" s="24"/>
      <c r="AO88" s="24"/>
      <c r="AP88" s="24"/>
      <c r="AQ88" s="24"/>
      <c r="AR88" s="24">
        <v>-3</v>
      </c>
      <c r="AS88" s="24">
        <v>17</v>
      </c>
      <c r="AT88" s="24"/>
      <c r="AU88" s="24"/>
      <c r="AV88" s="24">
        <v>0</v>
      </c>
      <c r="AW88" s="24">
        <v>0</v>
      </c>
      <c r="AX88" s="24"/>
      <c r="AY88" s="24"/>
      <c r="AZ88" s="24"/>
      <c r="BA88" s="24"/>
      <c r="BB88" s="24">
        <v>32</v>
      </c>
      <c r="BC88" s="24">
        <v>43</v>
      </c>
      <c r="BD88" s="24">
        <v>-36</v>
      </c>
      <c r="BE88" s="24">
        <v>378</v>
      </c>
      <c r="BF88" s="24">
        <v>135</v>
      </c>
      <c r="BG88" s="24">
        <v>171</v>
      </c>
      <c r="BH88" s="24">
        <v>15</v>
      </c>
      <c r="BI88" s="24">
        <v>134</v>
      </c>
      <c r="BJ88" s="24"/>
      <c r="BK88" s="24"/>
      <c r="BL88" s="37">
        <f t="shared" si="9"/>
        <v>213.97</v>
      </c>
      <c r="BM88" s="37">
        <f t="shared" si="9"/>
        <v>876.19</v>
      </c>
    </row>
    <row r="89" spans="1:65" s="4" customFormat="1" x14ac:dyDescent="0.25">
      <c r="A89" s="26" t="s">
        <v>190</v>
      </c>
      <c r="B89" s="26"/>
      <c r="C89" s="26"/>
      <c r="D89" s="26"/>
      <c r="E89" s="26"/>
      <c r="F89" s="26"/>
      <c r="G89" s="26"/>
      <c r="H89" s="26">
        <v>9</v>
      </c>
      <c r="I89" s="26">
        <v>24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>
        <v>-1.56</v>
      </c>
      <c r="U89" s="26">
        <v>-0.27</v>
      </c>
      <c r="V89" s="26">
        <v>-16</v>
      </c>
      <c r="W89" s="26">
        <v>-30</v>
      </c>
      <c r="X89" s="26">
        <v>-40</v>
      </c>
      <c r="Y89" s="26">
        <v>-46</v>
      </c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>
        <v>134</v>
      </c>
      <c r="AK89" s="26">
        <v>222</v>
      </c>
      <c r="AL89" s="26"/>
      <c r="AM89" s="26"/>
      <c r="AN89" s="26"/>
      <c r="AO89" s="26"/>
      <c r="AP89" s="26"/>
      <c r="AQ89" s="26"/>
      <c r="AR89" s="26">
        <v>-37</v>
      </c>
      <c r="AS89" s="26">
        <v>9</v>
      </c>
      <c r="AT89" s="26"/>
      <c r="AU89" s="26"/>
      <c r="AV89" s="26">
        <v>2</v>
      </c>
      <c r="AW89" s="26">
        <v>2</v>
      </c>
      <c r="AX89" s="26"/>
      <c r="AY89" s="26"/>
      <c r="AZ89" s="26"/>
      <c r="BA89" s="26"/>
      <c r="BB89" s="26">
        <v>-32</v>
      </c>
      <c r="BC89" s="26">
        <v>-43</v>
      </c>
      <c r="BD89" s="26">
        <v>311</v>
      </c>
      <c r="BE89" s="26">
        <v>170</v>
      </c>
      <c r="BF89" s="26">
        <v>207</v>
      </c>
      <c r="BG89" s="26">
        <v>330</v>
      </c>
      <c r="BH89" s="26">
        <v>49</v>
      </c>
      <c r="BI89" s="26">
        <v>243</v>
      </c>
      <c r="BJ89" s="26"/>
      <c r="BK89" s="26"/>
      <c r="BL89" s="39">
        <f t="shared" si="9"/>
        <v>585.44000000000005</v>
      </c>
      <c r="BM89" s="39">
        <f t="shared" si="9"/>
        <v>880.73</v>
      </c>
    </row>
    <row r="91" spans="1:65" x14ac:dyDescent="0.25">
      <c r="A91" s="7" t="s">
        <v>244</v>
      </c>
    </row>
    <row r="92" spans="1:65" x14ac:dyDescent="0.25">
      <c r="A92" s="38" t="s">
        <v>0</v>
      </c>
      <c r="B92" s="94" t="s">
        <v>1</v>
      </c>
      <c r="C92" s="95"/>
      <c r="D92" s="94" t="s">
        <v>232</v>
      </c>
      <c r="E92" s="95"/>
      <c r="F92" s="94" t="s">
        <v>2</v>
      </c>
      <c r="G92" s="95"/>
      <c r="H92" s="94" t="s">
        <v>3</v>
      </c>
      <c r="I92" s="95"/>
      <c r="J92" s="94" t="s">
        <v>241</v>
      </c>
      <c r="K92" s="95"/>
      <c r="L92" s="94" t="s">
        <v>233</v>
      </c>
      <c r="M92" s="95"/>
      <c r="N92" s="94" t="s">
        <v>246</v>
      </c>
      <c r="O92" s="95"/>
      <c r="P92" s="94" t="s">
        <v>5</v>
      </c>
      <c r="Q92" s="95"/>
      <c r="R92" s="94" t="s">
        <v>4</v>
      </c>
      <c r="S92" s="95"/>
      <c r="T92" s="94" t="s">
        <v>6</v>
      </c>
      <c r="U92" s="95"/>
      <c r="V92" s="94" t="s">
        <v>7</v>
      </c>
      <c r="W92" s="95"/>
      <c r="X92" s="94" t="s">
        <v>8</v>
      </c>
      <c r="Y92" s="95"/>
      <c r="Z92" s="94" t="s">
        <v>9</v>
      </c>
      <c r="AA92" s="95"/>
      <c r="AB92" s="94" t="s">
        <v>240</v>
      </c>
      <c r="AC92" s="95"/>
      <c r="AD92" s="94" t="s">
        <v>10</v>
      </c>
      <c r="AE92" s="95"/>
      <c r="AF92" s="94" t="s">
        <v>11</v>
      </c>
      <c r="AG92" s="95"/>
      <c r="AH92" s="94" t="s">
        <v>234</v>
      </c>
      <c r="AI92" s="95"/>
      <c r="AJ92" s="94" t="s">
        <v>12</v>
      </c>
      <c r="AK92" s="95"/>
      <c r="AL92" s="94" t="s">
        <v>235</v>
      </c>
      <c r="AM92" s="95"/>
      <c r="AN92" s="94" t="s">
        <v>300</v>
      </c>
      <c r="AO92" s="95"/>
      <c r="AP92" s="94" t="s">
        <v>236</v>
      </c>
      <c r="AQ92" s="95"/>
      <c r="AR92" s="94" t="s">
        <v>239</v>
      </c>
      <c r="AS92" s="95"/>
      <c r="AT92" s="94" t="s">
        <v>13</v>
      </c>
      <c r="AU92" s="95"/>
      <c r="AV92" s="94" t="s">
        <v>14</v>
      </c>
      <c r="AW92" s="95"/>
      <c r="AX92" s="94" t="s">
        <v>15</v>
      </c>
      <c r="AY92" s="95"/>
      <c r="AZ92" s="94" t="s">
        <v>16</v>
      </c>
      <c r="BA92" s="95"/>
      <c r="BB92" s="94" t="s">
        <v>17</v>
      </c>
      <c r="BC92" s="95"/>
      <c r="BD92" s="94" t="s">
        <v>237</v>
      </c>
      <c r="BE92" s="95"/>
      <c r="BF92" s="94" t="s">
        <v>238</v>
      </c>
      <c r="BG92" s="95"/>
      <c r="BH92" s="94" t="s">
        <v>18</v>
      </c>
      <c r="BI92" s="95"/>
      <c r="BJ92" s="94" t="s">
        <v>19</v>
      </c>
      <c r="BK92" s="95"/>
      <c r="BL92" s="96" t="s">
        <v>20</v>
      </c>
      <c r="BM92" s="97"/>
    </row>
    <row r="93" spans="1:65" ht="30" x14ac:dyDescent="0.25">
      <c r="A93" s="38"/>
      <c r="B93" s="34" t="s">
        <v>298</v>
      </c>
      <c r="C93" s="35" t="s">
        <v>299</v>
      </c>
      <c r="D93" s="34" t="s">
        <v>298</v>
      </c>
      <c r="E93" s="35" t="s">
        <v>299</v>
      </c>
      <c r="F93" s="34" t="s">
        <v>298</v>
      </c>
      <c r="G93" s="35" t="s">
        <v>299</v>
      </c>
      <c r="H93" s="34" t="s">
        <v>298</v>
      </c>
      <c r="I93" s="35" t="s">
        <v>299</v>
      </c>
      <c r="J93" s="34" t="s">
        <v>298</v>
      </c>
      <c r="K93" s="35" t="s">
        <v>299</v>
      </c>
      <c r="L93" s="34" t="s">
        <v>298</v>
      </c>
      <c r="M93" s="35" t="s">
        <v>299</v>
      </c>
      <c r="N93" s="34" t="s">
        <v>298</v>
      </c>
      <c r="O93" s="35" t="s">
        <v>299</v>
      </c>
      <c r="P93" s="34" t="s">
        <v>298</v>
      </c>
      <c r="Q93" s="35" t="s">
        <v>299</v>
      </c>
      <c r="R93" s="34" t="s">
        <v>298</v>
      </c>
      <c r="S93" s="35" t="s">
        <v>299</v>
      </c>
      <c r="T93" s="34" t="s">
        <v>298</v>
      </c>
      <c r="U93" s="35" t="s">
        <v>299</v>
      </c>
      <c r="V93" s="34" t="s">
        <v>298</v>
      </c>
      <c r="W93" s="35" t="s">
        <v>299</v>
      </c>
      <c r="X93" s="34" t="s">
        <v>298</v>
      </c>
      <c r="Y93" s="35" t="s">
        <v>299</v>
      </c>
      <c r="Z93" s="34" t="s">
        <v>298</v>
      </c>
      <c r="AA93" s="35" t="s">
        <v>299</v>
      </c>
      <c r="AB93" s="34" t="s">
        <v>298</v>
      </c>
      <c r="AC93" s="35" t="s">
        <v>299</v>
      </c>
      <c r="AD93" s="34" t="s">
        <v>298</v>
      </c>
      <c r="AE93" s="35" t="s">
        <v>299</v>
      </c>
      <c r="AF93" s="34" t="s">
        <v>298</v>
      </c>
      <c r="AG93" s="35" t="s">
        <v>299</v>
      </c>
      <c r="AH93" s="34" t="s">
        <v>298</v>
      </c>
      <c r="AI93" s="35" t="s">
        <v>299</v>
      </c>
      <c r="AJ93" s="34" t="s">
        <v>298</v>
      </c>
      <c r="AK93" s="35" t="s">
        <v>299</v>
      </c>
      <c r="AL93" s="34" t="s">
        <v>298</v>
      </c>
      <c r="AM93" s="35" t="s">
        <v>299</v>
      </c>
      <c r="AN93" s="34" t="s">
        <v>298</v>
      </c>
      <c r="AO93" s="35" t="s">
        <v>299</v>
      </c>
      <c r="AP93" s="34" t="s">
        <v>298</v>
      </c>
      <c r="AQ93" s="35" t="s">
        <v>299</v>
      </c>
      <c r="AR93" s="34" t="s">
        <v>298</v>
      </c>
      <c r="AS93" s="35" t="s">
        <v>299</v>
      </c>
      <c r="AT93" s="34" t="s">
        <v>298</v>
      </c>
      <c r="AU93" s="35" t="s">
        <v>299</v>
      </c>
      <c r="AV93" s="34" t="s">
        <v>298</v>
      </c>
      <c r="AW93" s="35" t="s">
        <v>299</v>
      </c>
      <c r="AX93" s="34" t="s">
        <v>298</v>
      </c>
      <c r="AY93" s="35" t="s">
        <v>299</v>
      </c>
      <c r="AZ93" s="34" t="s">
        <v>298</v>
      </c>
      <c r="BA93" s="35" t="s">
        <v>299</v>
      </c>
      <c r="BB93" s="34" t="s">
        <v>298</v>
      </c>
      <c r="BC93" s="35" t="s">
        <v>299</v>
      </c>
      <c r="BD93" s="34" t="s">
        <v>298</v>
      </c>
      <c r="BE93" s="35" t="s">
        <v>299</v>
      </c>
      <c r="BF93" s="34" t="s">
        <v>298</v>
      </c>
      <c r="BG93" s="35" t="s">
        <v>299</v>
      </c>
      <c r="BH93" s="34" t="s">
        <v>298</v>
      </c>
      <c r="BI93" s="35" t="s">
        <v>299</v>
      </c>
      <c r="BJ93" s="34" t="s">
        <v>298</v>
      </c>
      <c r="BK93" s="35" t="s">
        <v>299</v>
      </c>
      <c r="BL93" s="34" t="s">
        <v>298</v>
      </c>
      <c r="BM93" s="35" t="s">
        <v>299</v>
      </c>
    </row>
    <row r="94" spans="1:65" x14ac:dyDescent="0.25">
      <c r="A94" s="24" t="s">
        <v>285</v>
      </c>
      <c r="B94" s="24"/>
      <c r="C94" s="24"/>
      <c r="D94" s="24"/>
      <c r="E94" s="24"/>
      <c r="F94" s="24">
        <v>3994</v>
      </c>
      <c r="G94" s="24">
        <v>4051</v>
      </c>
      <c r="H94" s="24">
        <v>2</v>
      </c>
      <c r="I94" s="24">
        <v>2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>
        <v>6.35</v>
      </c>
      <c r="V94" s="24">
        <v>10</v>
      </c>
      <c r="W94" s="24">
        <v>10</v>
      </c>
      <c r="X94" s="24">
        <v>28</v>
      </c>
      <c r="Y94" s="24">
        <v>29</v>
      </c>
      <c r="Z94" s="24"/>
      <c r="AA94" s="24"/>
      <c r="AB94" s="24"/>
      <c r="AC94" s="24"/>
      <c r="AD94" s="24"/>
      <c r="AE94" s="24"/>
      <c r="AF94" s="26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>
        <v>2</v>
      </c>
      <c r="AX94" s="24"/>
      <c r="AY94" s="24"/>
      <c r="AZ94" s="24"/>
      <c r="BA94" s="24"/>
      <c r="BB94" s="24"/>
      <c r="BC94" s="24"/>
      <c r="BD94" s="24"/>
      <c r="BE94" s="24"/>
      <c r="BF94" s="24">
        <v>114</v>
      </c>
      <c r="BG94" s="24">
        <v>-106</v>
      </c>
      <c r="BH94" s="24"/>
      <c r="BI94" s="24"/>
      <c r="BJ94" s="24"/>
      <c r="BK94" s="24"/>
      <c r="BL94" s="37">
        <f t="shared" ref="BL94:BM100" si="10">SUM(B94+D94+F94+H94+J94+L94+N94+P94+R94+T94+V94+X94+Z94+AB94+AD94+AF94+AH94+AJ94+AL94+AN94+AP94+AR94+AT94+AV94+AX94+AZ94+BB94+BD94+BF94+BH94+BJ94)</f>
        <v>4148</v>
      </c>
      <c r="BM94" s="37">
        <f t="shared" si="10"/>
        <v>3994.3500000000004</v>
      </c>
    </row>
    <row r="95" spans="1:65" x14ac:dyDescent="0.25">
      <c r="A95" s="24" t="s">
        <v>286</v>
      </c>
      <c r="B95" s="24"/>
      <c r="C95" s="24"/>
      <c r="D95" s="24"/>
      <c r="E95" s="24"/>
      <c r="F95" s="24">
        <v>0</v>
      </c>
      <c r="G95" s="24">
        <v>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>
        <v>8</v>
      </c>
      <c r="Y95" s="24">
        <v>8</v>
      </c>
      <c r="Z95" s="24"/>
      <c r="AA95" s="24"/>
      <c r="AB95" s="24"/>
      <c r="AC95" s="24"/>
      <c r="AD95" s="24"/>
      <c r="AE95" s="24"/>
      <c r="AF95" s="26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>
        <v>1</v>
      </c>
      <c r="AX95" s="24"/>
      <c r="AY95" s="24"/>
      <c r="AZ95" s="24"/>
      <c r="BA95" s="24"/>
      <c r="BB95" s="24"/>
      <c r="BC95" s="24"/>
      <c r="BD95" s="24"/>
      <c r="BE95" s="24"/>
      <c r="BF95" s="24">
        <v>0</v>
      </c>
      <c r="BG95" s="24">
        <v>0</v>
      </c>
      <c r="BH95" s="24"/>
      <c r="BI95" s="24"/>
      <c r="BJ95" s="24"/>
      <c r="BK95" s="24"/>
      <c r="BL95" s="37">
        <f t="shared" si="10"/>
        <v>8</v>
      </c>
      <c r="BM95" s="37">
        <f t="shared" si="10"/>
        <v>9</v>
      </c>
    </row>
    <row r="96" spans="1:65" x14ac:dyDescent="0.25">
      <c r="A96" s="24" t="s">
        <v>287</v>
      </c>
      <c r="B96" s="24"/>
      <c r="C96" s="24"/>
      <c r="D96" s="24"/>
      <c r="E96" s="24"/>
      <c r="F96" s="24">
        <v>0</v>
      </c>
      <c r="G96" s="24">
        <v>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6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>
        <v>0</v>
      </c>
      <c r="BG96" s="24">
        <v>0</v>
      </c>
      <c r="BH96" s="24"/>
      <c r="BI96" s="24"/>
      <c r="BJ96" s="24"/>
      <c r="BK96" s="24"/>
      <c r="BL96" s="37">
        <f t="shared" si="10"/>
        <v>0</v>
      </c>
      <c r="BM96" s="37">
        <f t="shared" si="10"/>
        <v>0</v>
      </c>
    </row>
    <row r="97" spans="1:65" s="4" customFormat="1" x14ac:dyDescent="0.25">
      <c r="A97" s="26" t="s">
        <v>288</v>
      </c>
      <c r="B97" s="26"/>
      <c r="C97" s="26"/>
      <c r="D97" s="26"/>
      <c r="E97" s="26"/>
      <c r="F97" s="26">
        <v>3994</v>
      </c>
      <c r="G97" s="26">
        <v>4051</v>
      </c>
      <c r="H97" s="26">
        <v>2</v>
      </c>
      <c r="I97" s="26">
        <v>2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>
        <v>6.35</v>
      </c>
      <c r="V97" s="26">
        <v>10</v>
      </c>
      <c r="W97" s="26">
        <v>10</v>
      </c>
      <c r="X97" s="26">
        <v>36</v>
      </c>
      <c r="Y97" s="26">
        <v>37</v>
      </c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>
        <v>120</v>
      </c>
      <c r="AK97" s="26">
        <v>305</v>
      </c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>
        <v>2</v>
      </c>
      <c r="AX97" s="26"/>
      <c r="AY97" s="26"/>
      <c r="AZ97" s="26"/>
      <c r="BA97" s="26"/>
      <c r="BB97" s="26"/>
      <c r="BC97" s="26"/>
      <c r="BD97" s="26"/>
      <c r="BE97" s="26"/>
      <c r="BF97" s="26">
        <v>114</v>
      </c>
      <c r="BG97" s="26">
        <v>-106</v>
      </c>
      <c r="BH97" s="26">
        <v>-4</v>
      </c>
      <c r="BI97" s="26">
        <v>-4</v>
      </c>
      <c r="BJ97" s="26"/>
      <c r="BK97" s="26"/>
      <c r="BL97" s="39">
        <f t="shared" si="10"/>
        <v>4272</v>
      </c>
      <c r="BM97" s="39">
        <f t="shared" si="10"/>
        <v>4303.3500000000004</v>
      </c>
    </row>
    <row r="98" spans="1:65" x14ac:dyDescent="0.25">
      <c r="A98" s="24" t="s">
        <v>289</v>
      </c>
      <c r="B98" s="24"/>
      <c r="C98" s="24"/>
      <c r="D98" s="24"/>
      <c r="E98" s="24"/>
      <c r="F98" s="24">
        <v>5</v>
      </c>
      <c r="G98" s="24">
        <v>5</v>
      </c>
      <c r="H98" s="24"/>
      <c r="I98" s="24"/>
      <c r="J98" s="24"/>
      <c r="K98" s="24"/>
      <c r="L98" s="24"/>
      <c r="M98" s="24"/>
      <c r="N98" s="24">
        <v>93</v>
      </c>
      <c r="O98" s="24">
        <v>152</v>
      </c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6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>
        <v>0</v>
      </c>
      <c r="BG98" s="24">
        <v>0</v>
      </c>
      <c r="BH98" s="24"/>
      <c r="BI98" s="24"/>
      <c r="BJ98" s="24"/>
      <c r="BK98" s="24"/>
      <c r="BL98" s="37">
        <f t="shared" si="10"/>
        <v>98</v>
      </c>
      <c r="BM98" s="37">
        <f t="shared" si="10"/>
        <v>157</v>
      </c>
    </row>
    <row r="99" spans="1:65" x14ac:dyDescent="0.25">
      <c r="A99" s="24" t="s">
        <v>290</v>
      </c>
      <c r="B99" s="24"/>
      <c r="C99" s="24"/>
      <c r="D99" s="24"/>
      <c r="E99" s="24"/>
      <c r="F99" s="24">
        <v>8635</v>
      </c>
      <c r="G99" s="24">
        <v>8734</v>
      </c>
      <c r="H99" s="24">
        <v>-7905</v>
      </c>
      <c r="I99" s="24">
        <v>-7915</v>
      </c>
      <c r="J99" s="24"/>
      <c r="K99" s="24"/>
      <c r="L99" s="24"/>
      <c r="M99" s="24"/>
      <c r="N99" s="24">
        <v>-22</v>
      </c>
      <c r="O99" s="24">
        <v>-22</v>
      </c>
      <c r="P99" s="24"/>
      <c r="Q99" s="24"/>
      <c r="R99" s="24"/>
      <c r="S99" s="24"/>
      <c r="T99" s="24">
        <v>1828.07</v>
      </c>
      <c r="U99" s="24">
        <v>2805.06</v>
      </c>
      <c r="V99" s="24">
        <v>-6660</v>
      </c>
      <c r="W99" s="24">
        <v>-6717</v>
      </c>
      <c r="X99" s="24">
        <v>2381</v>
      </c>
      <c r="Y99" s="24">
        <v>3262</v>
      </c>
      <c r="Z99" s="24">
        <v>193</v>
      </c>
      <c r="AA99" s="24">
        <v>856</v>
      </c>
      <c r="AB99" s="24"/>
      <c r="AC99" s="24"/>
      <c r="AD99" s="24"/>
      <c r="AE99" s="24"/>
      <c r="AF99" s="26"/>
      <c r="AG99" s="24"/>
      <c r="AH99" s="24"/>
      <c r="AI99" s="24"/>
      <c r="AJ99" s="24">
        <v>-111</v>
      </c>
      <c r="AK99" s="24">
        <v>630</v>
      </c>
      <c r="AL99" s="24"/>
      <c r="AM99" s="24"/>
      <c r="AN99" s="24"/>
      <c r="AO99" s="24"/>
      <c r="AP99" s="24"/>
      <c r="AQ99" s="24"/>
      <c r="AR99" s="24">
        <v>6617</v>
      </c>
      <c r="AS99" s="24">
        <v>9422</v>
      </c>
      <c r="AT99" s="24"/>
      <c r="AU99" s="24"/>
      <c r="AV99" s="24">
        <v>4429</v>
      </c>
      <c r="AW99" s="24">
        <v>4591</v>
      </c>
      <c r="AX99" s="24"/>
      <c r="AY99" s="24"/>
      <c r="AZ99" s="24"/>
      <c r="BA99" s="24"/>
      <c r="BB99" s="24"/>
      <c r="BC99" s="24">
        <v>11</v>
      </c>
      <c r="BD99" s="24">
        <v>48</v>
      </c>
      <c r="BE99" s="24">
        <v>50</v>
      </c>
      <c r="BF99" s="24">
        <v>0</v>
      </c>
      <c r="BG99" s="24">
        <v>0</v>
      </c>
      <c r="BH99" s="24">
        <v>65</v>
      </c>
      <c r="BI99" s="24">
        <v>85</v>
      </c>
      <c r="BJ99" s="24">
        <v>2542</v>
      </c>
      <c r="BK99" s="24">
        <v>3010</v>
      </c>
      <c r="BL99" s="37">
        <f t="shared" si="10"/>
        <v>12040.07</v>
      </c>
      <c r="BM99" s="37">
        <f t="shared" si="10"/>
        <v>18802.059999999998</v>
      </c>
    </row>
    <row r="100" spans="1:65" s="4" customFormat="1" x14ac:dyDescent="0.25">
      <c r="A100" s="26" t="s">
        <v>190</v>
      </c>
      <c r="B100" s="26"/>
      <c r="C100" s="26"/>
      <c r="D100" s="26"/>
      <c r="E100" s="26"/>
      <c r="F100" s="26">
        <v>-4636</v>
      </c>
      <c r="G100" s="26">
        <v>-4677</v>
      </c>
      <c r="H100" s="26">
        <v>-7903</v>
      </c>
      <c r="I100" s="26">
        <v>-7913</v>
      </c>
      <c r="J100" s="26"/>
      <c r="K100" s="26"/>
      <c r="L100" s="26"/>
      <c r="M100" s="26"/>
      <c r="N100" s="26">
        <v>71</v>
      </c>
      <c r="O100" s="26">
        <v>130</v>
      </c>
      <c r="P100" s="26"/>
      <c r="Q100" s="26"/>
      <c r="R100" s="26"/>
      <c r="S100" s="26"/>
      <c r="T100" s="26">
        <v>-1828.07</v>
      </c>
      <c r="U100" s="26">
        <v>-2798.71</v>
      </c>
      <c r="V100" s="26">
        <v>-6650</v>
      </c>
      <c r="W100" s="26">
        <v>-6707</v>
      </c>
      <c r="X100" s="26">
        <v>-2345</v>
      </c>
      <c r="Y100" s="26">
        <v>-3225</v>
      </c>
      <c r="Z100" s="26">
        <v>-193</v>
      </c>
      <c r="AA100" s="26">
        <v>-856</v>
      </c>
      <c r="AB100" s="26"/>
      <c r="AC100" s="26"/>
      <c r="AD100" s="26"/>
      <c r="AE100" s="26"/>
      <c r="AF100" s="26"/>
      <c r="AG100" s="26"/>
      <c r="AH100" s="26"/>
      <c r="AI100" s="26"/>
      <c r="AJ100" s="26">
        <v>232</v>
      </c>
      <c r="AK100" s="26">
        <v>-325</v>
      </c>
      <c r="AL100" s="26"/>
      <c r="AM100" s="26"/>
      <c r="AN100" s="26"/>
      <c r="AO100" s="26"/>
      <c r="AP100" s="26"/>
      <c r="AQ100" s="26"/>
      <c r="AR100" s="26">
        <v>-6617</v>
      </c>
      <c r="AS100" s="26">
        <v>-9422</v>
      </c>
      <c r="AT100" s="26"/>
      <c r="AU100" s="26"/>
      <c r="AV100" s="26">
        <v>-4429</v>
      </c>
      <c r="AW100" s="26">
        <v>-4589</v>
      </c>
      <c r="AX100" s="26"/>
      <c r="AY100" s="26"/>
      <c r="AZ100" s="26"/>
      <c r="BA100" s="26"/>
      <c r="BB100" s="26"/>
      <c r="BC100" s="26">
        <v>-11</v>
      </c>
      <c r="BD100" s="26">
        <v>-48</v>
      </c>
      <c r="BE100" s="26">
        <v>-50</v>
      </c>
      <c r="BF100" s="26">
        <v>114</v>
      </c>
      <c r="BG100" s="26">
        <v>-106</v>
      </c>
      <c r="BH100" s="26">
        <v>-69</v>
      </c>
      <c r="BI100" s="26">
        <v>-90</v>
      </c>
      <c r="BJ100" s="26">
        <v>-2542</v>
      </c>
      <c r="BK100" s="26">
        <v>-3010</v>
      </c>
      <c r="BL100" s="39">
        <f t="shared" si="10"/>
        <v>-36843.07</v>
      </c>
      <c r="BM100" s="39">
        <f t="shared" si="10"/>
        <v>-43649.71</v>
      </c>
    </row>
    <row r="102" spans="1:65" x14ac:dyDescent="0.25">
      <c r="A102" s="7" t="s">
        <v>189</v>
      </c>
    </row>
    <row r="103" spans="1:65" x14ac:dyDescent="0.25">
      <c r="A103" s="38" t="s">
        <v>0</v>
      </c>
      <c r="B103" s="94" t="s">
        <v>1</v>
      </c>
      <c r="C103" s="95"/>
      <c r="D103" s="94" t="s">
        <v>232</v>
      </c>
      <c r="E103" s="95"/>
      <c r="F103" s="94" t="s">
        <v>2</v>
      </c>
      <c r="G103" s="95"/>
      <c r="H103" s="94" t="s">
        <v>3</v>
      </c>
      <c r="I103" s="95"/>
      <c r="J103" s="94" t="s">
        <v>241</v>
      </c>
      <c r="K103" s="95"/>
      <c r="L103" s="94" t="s">
        <v>233</v>
      </c>
      <c r="M103" s="95"/>
      <c r="N103" s="94" t="s">
        <v>246</v>
      </c>
      <c r="O103" s="95"/>
      <c r="P103" s="94" t="s">
        <v>5</v>
      </c>
      <c r="Q103" s="95"/>
      <c r="R103" s="94" t="s">
        <v>4</v>
      </c>
      <c r="S103" s="95"/>
      <c r="T103" s="94" t="s">
        <v>6</v>
      </c>
      <c r="U103" s="95"/>
      <c r="V103" s="94" t="s">
        <v>7</v>
      </c>
      <c r="W103" s="95"/>
      <c r="X103" s="94" t="s">
        <v>8</v>
      </c>
      <c r="Y103" s="95"/>
      <c r="Z103" s="94" t="s">
        <v>9</v>
      </c>
      <c r="AA103" s="95"/>
      <c r="AB103" s="94" t="s">
        <v>240</v>
      </c>
      <c r="AC103" s="95"/>
      <c r="AD103" s="94" t="s">
        <v>10</v>
      </c>
      <c r="AE103" s="95"/>
      <c r="AF103" s="94" t="s">
        <v>11</v>
      </c>
      <c r="AG103" s="95"/>
      <c r="AH103" s="94" t="s">
        <v>234</v>
      </c>
      <c r="AI103" s="95"/>
      <c r="AJ103" s="94" t="s">
        <v>12</v>
      </c>
      <c r="AK103" s="95"/>
      <c r="AL103" s="94" t="s">
        <v>235</v>
      </c>
      <c r="AM103" s="95"/>
      <c r="AN103" s="94" t="s">
        <v>300</v>
      </c>
      <c r="AO103" s="95"/>
      <c r="AP103" s="94" t="s">
        <v>236</v>
      </c>
      <c r="AQ103" s="95"/>
      <c r="AR103" s="94" t="s">
        <v>239</v>
      </c>
      <c r="AS103" s="95"/>
      <c r="AT103" s="94" t="s">
        <v>13</v>
      </c>
      <c r="AU103" s="95"/>
      <c r="AV103" s="94" t="s">
        <v>14</v>
      </c>
      <c r="AW103" s="95"/>
      <c r="AX103" s="94" t="s">
        <v>15</v>
      </c>
      <c r="AY103" s="95"/>
      <c r="AZ103" s="94" t="s">
        <v>16</v>
      </c>
      <c r="BA103" s="95"/>
      <c r="BB103" s="94" t="s">
        <v>17</v>
      </c>
      <c r="BC103" s="95"/>
      <c r="BD103" s="94" t="s">
        <v>237</v>
      </c>
      <c r="BE103" s="95"/>
      <c r="BF103" s="94" t="s">
        <v>238</v>
      </c>
      <c r="BG103" s="95"/>
      <c r="BH103" s="94" t="s">
        <v>18</v>
      </c>
      <c r="BI103" s="95"/>
      <c r="BJ103" s="94" t="s">
        <v>19</v>
      </c>
      <c r="BK103" s="95"/>
      <c r="BL103" s="96" t="s">
        <v>20</v>
      </c>
      <c r="BM103" s="97"/>
    </row>
    <row r="104" spans="1:65" ht="30" x14ac:dyDescent="0.25">
      <c r="A104" s="38"/>
      <c r="B104" s="34" t="s">
        <v>298</v>
      </c>
      <c r="C104" s="35" t="s">
        <v>299</v>
      </c>
      <c r="D104" s="34" t="s">
        <v>298</v>
      </c>
      <c r="E104" s="35" t="s">
        <v>299</v>
      </c>
      <c r="F104" s="34" t="s">
        <v>298</v>
      </c>
      <c r="G104" s="35" t="s">
        <v>299</v>
      </c>
      <c r="H104" s="34" t="s">
        <v>298</v>
      </c>
      <c r="I104" s="35" t="s">
        <v>299</v>
      </c>
      <c r="J104" s="34" t="s">
        <v>298</v>
      </c>
      <c r="K104" s="35" t="s">
        <v>299</v>
      </c>
      <c r="L104" s="34" t="s">
        <v>298</v>
      </c>
      <c r="M104" s="35" t="s">
        <v>299</v>
      </c>
      <c r="N104" s="34" t="s">
        <v>298</v>
      </c>
      <c r="O104" s="35" t="s">
        <v>299</v>
      </c>
      <c r="P104" s="34" t="s">
        <v>298</v>
      </c>
      <c r="Q104" s="35" t="s">
        <v>299</v>
      </c>
      <c r="R104" s="34" t="s">
        <v>298</v>
      </c>
      <c r="S104" s="35" t="s">
        <v>299</v>
      </c>
      <c r="T104" s="34" t="s">
        <v>298</v>
      </c>
      <c r="U104" s="35" t="s">
        <v>299</v>
      </c>
      <c r="V104" s="34" t="s">
        <v>298</v>
      </c>
      <c r="W104" s="35" t="s">
        <v>299</v>
      </c>
      <c r="X104" s="34" t="s">
        <v>298</v>
      </c>
      <c r="Y104" s="35" t="s">
        <v>299</v>
      </c>
      <c r="Z104" s="34" t="s">
        <v>298</v>
      </c>
      <c r="AA104" s="35" t="s">
        <v>299</v>
      </c>
      <c r="AB104" s="34" t="s">
        <v>298</v>
      </c>
      <c r="AC104" s="35" t="s">
        <v>299</v>
      </c>
      <c r="AD104" s="34" t="s">
        <v>298</v>
      </c>
      <c r="AE104" s="35" t="s">
        <v>299</v>
      </c>
      <c r="AF104" s="34" t="s">
        <v>298</v>
      </c>
      <c r="AG104" s="35" t="s">
        <v>299</v>
      </c>
      <c r="AH104" s="34" t="s">
        <v>298</v>
      </c>
      <c r="AI104" s="35" t="s">
        <v>299</v>
      </c>
      <c r="AJ104" s="34" t="s">
        <v>298</v>
      </c>
      <c r="AK104" s="35" t="s">
        <v>299</v>
      </c>
      <c r="AL104" s="34" t="s">
        <v>298</v>
      </c>
      <c r="AM104" s="35" t="s">
        <v>299</v>
      </c>
      <c r="AN104" s="34" t="s">
        <v>298</v>
      </c>
      <c r="AO104" s="35" t="s">
        <v>299</v>
      </c>
      <c r="AP104" s="34" t="s">
        <v>298</v>
      </c>
      <c r="AQ104" s="35" t="s">
        <v>299</v>
      </c>
      <c r="AR104" s="34" t="s">
        <v>298</v>
      </c>
      <c r="AS104" s="35" t="s">
        <v>299</v>
      </c>
      <c r="AT104" s="34" t="s">
        <v>298</v>
      </c>
      <c r="AU104" s="35" t="s">
        <v>299</v>
      </c>
      <c r="AV104" s="34" t="s">
        <v>298</v>
      </c>
      <c r="AW104" s="35" t="s">
        <v>299</v>
      </c>
      <c r="AX104" s="34" t="s">
        <v>298</v>
      </c>
      <c r="AY104" s="35" t="s">
        <v>299</v>
      </c>
      <c r="AZ104" s="34" t="s">
        <v>298</v>
      </c>
      <c r="BA104" s="35" t="s">
        <v>299</v>
      </c>
      <c r="BB104" s="34" t="s">
        <v>298</v>
      </c>
      <c r="BC104" s="35" t="s">
        <v>299</v>
      </c>
      <c r="BD104" s="34" t="s">
        <v>298</v>
      </c>
      <c r="BE104" s="35" t="s">
        <v>299</v>
      </c>
      <c r="BF104" s="34" t="s">
        <v>298</v>
      </c>
      <c r="BG104" s="35" t="s">
        <v>299</v>
      </c>
      <c r="BH104" s="34" t="s">
        <v>298</v>
      </c>
      <c r="BI104" s="35" t="s">
        <v>299</v>
      </c>
      <c r="BJ104" s="34" t="s">
        <v>298</v>
      </c>
      <c r="BK104" s="35" t="s">
        <v>299</v>
      </c>
      <c r="BL104" s="34" t="s">
        <v>298</v>
      </c>
      <c r="BM104" s="35" t="s">
        <v>299</v>
      </c>
    </row>
    <row r="105" spans="1:65" x14ac:dyDescent="0.25">
      <c r="A105" s="24" t="s">
        <v>285</v>
      </c>
      <c r="B105" s="24">
        <f>B116-B94-B83-B72-B61-B50-B39-B28-B17-B6</f>
        <v>1</v>
      </c>
      <c r="C105" s="24">
        <f t="shared" ref="C105:BK110" si="11">C116-C94-C83-C72-C61-C50-C39-C28-C17-C6</f>
        <v>2</v>
      </c>
      <c r="D105" s="24">
        <f t="shared" si="11"/>
        <v>5</v>
      </c>
      <c r="E105" s="24">
        <f t="shared" si="11"/>
        <v>13</v>
      </c>
      <c r="F105" s="24">
        <f t="shared" si="11"/>
        <v>0</v>
      </c>
      <c r="G105" s="24">
        <f t="shared" si="11"/>
        <v>0</v>
      </c>
      <c r="H105" s="24">
        <f t="shared" si="11"/>
        <v>2216</v>
      </c>
      <c r="I105" s="24">
        <f t="shared" si="11"/>
        <v>4321</v>
      </c>
      <c r="J105" s="24">
        <f t="shared" si="11"/>
        <v>403</v>
      </c>
      <c r="K105" s="24">
        <f t="shared" si="11"/>
        <v>876</v>
      </c>
      <c r="L105" s="24">
        <f t="shared" si="11"/>
        <v>280</v>
      </c>
      <c r="M105" s="24">
        <f t="shared" si="11"/>
        <v>549</v>
      </c>
      <c r="N105" s="24">
        <f t="shared" si="11"/>
        <v>956</v>
      </c>
      <c r="O105" s="24">
        <f t="shared" si="11"/>
        <v>3097</v>
      </c>
      <c r="P105" s="24">
        <f t="shared" si="11"/>
        <v>569.71</v>
      </c>
      <c r="Q105" s="24">
        <f t="shared" si="11"/>
        <v>851.8</v>
      </c>
      <c r="R105" s="24">
        <f t="shared" si="11"/>
        <v>129.18000000000009</v>
      </c>
      <c r="S105" s="24">
        <f t="shared" si="11"/>
        <v>169.42999999999989</v>
      </c>
      <c r="T105" s="24">
        <f t="shared" si="11"/>
        <v>829.41999999999939</v>
      </c>
      <c r="U105" s="24">
        <f t="shared" si="11"/>
        <v>1630.4300000000012</v>
      </c>
      <c r="V105" s="24">
        <f t="shared" si="11"/>
        <v>2136</v>
      </c>
      <c r="W105" s="24">
        <f t="shared" si="11"/>
        <v>3732</v>
      </c>
      <c r="X105" s="24">
        <f t="shared" si="11"/>
        <v>2822</v>
      </c>
      <c r="Y105" s="24">
        <f t="shared" si="11"/>
        <v>5247</v>
      </c>
      <c r="Z105" s="24">
        <f t="shared" si="11"/>
        <v>2199</v>
      </c>
      <c r="AA105" s="24">
        <f t="shared" si="11"/>
        <v>4386</v>
      </c>
      <c r="AB105" s="24">
        <f t="shared" si="11"/>
        <v>68</v>
      </c>
      <c r="AC105" s="24">
        <f t="shared" si="11"/>
        <v>115</v>
      </c>
      <c r="AD105" s="24">
        <f t="shared" si="11"/>
        <v>177</v>
      </c>
      <c r="AE105" s="24">
        <f t="shared" si="11"/>
        <v>459</v>
      </c>
      <c r="AF105" s="24">
        <f t="shared" si="11"/>
        <v>11</v>
      </c>
      <c r="AG105" s="24">
        <f t="shared" si="11"/>
        <v>30</v>
      </c>
      <c r="AH105" s="24">
        <f t="shared" si="11"/>
        <v>1.5499999999997272</v>
      </c>
      <c r="AI105" s="24">
        <f t="shared" si="11"/>
        <v>4.0500000000001819</v>
      </c>
      <c r="AJ105" s="24">
        <f t="shared" si="11"/>
        <v>0</v>
      </c>
      <c r="AK105" s="24">
        <f t="shared" si="11"/>
        <v>0</v>
      </c>
      <c r="AL105" s="24">
        <f t="shared" si="11"/>
        <v>0</v>
      </c>
      <c r="AM105" s="24">
        <f t="shared" si="11"/>
        <v>0</v>
      </c>
      <c r="AN105" s="24">
        <f t="shared" si="11"/>
        <v>19</v>
      </c>
      <c r="AO105" s="24">
        <f t="shared" si="11"/>
        <v>33</v>
      </c>
      <c r="AP105" s="24">
        <f t="shared" si="11"/>
        <v>25</v>
      </c>
      <c r="AQ105" s="24">
        <f t="shared" si="11"/>
        <v>54</v>
      </c>
      <c r="AR105" s="24">
        <f t="shared" si="11"/>
        <v>351</v>
      </c>
      <c r="AS105" s="24">
        <f t="shared" si="11"/>
        <v>749</v>
      </c>
      <c r="AT105" s="24">
        <f t="shared" si="11"/>
        <v>36</v>
      </c>
      <c r="AU105" s="24">
        <f t="shared" si="11"/>
        <v>94</v>
      </c>
      <c r="AV105" s="24">
        <f t="shared" si="11"/>
        <v>490</v>
      </c>
      <c r="AW105" s="24">
        <f t="shared" si="11"/>
        <v>1001</v>
      </c>
      <c r="AX105" s="24">
        <f t="shared" si="11"/>
        <v>26</v>
      </c>
      <c r="AY105" s="24">
        <f t="shared" si="11"/>
        <v>48</v>
      </c>
      <c r="AZ105" s="24">
        <f t="shared" si="11"/>
        <v>5</v>
      </c>
      <c r="BA105" s="24">
        <f t="shared" si="11"/>
        <v>13</v>
      </c>
      <c r="BB105" s="24">
        <f t="shared" si="11"/>
        <v>1145</v>
      </c>
      <c r="BC105" s="24">
        <f t="shared" si="11"/>
        <v>2519</v>
      </c>
      <c r="BD105" s="24">
        <f t="shared" si="11"/>
        <v>0</v>
      </c>
      <c r="BE105" s="24">
        <f t="shared" si="11"/>
        <v>0</v>
      </c>
      <c r="BF105" s="24">
        <f t="shared" si="11"/>
        <v>1687</v>
      </c>
      <c r="BG105" s="24">
        <f t="shared" si="11"/>
        <v>3226</v>
      </c>
      <c r="BH105" s="24">
        <f t="shared" si="11"/>
        <v>0</v>
      </c>
      <c r="BI105" s="24">
        <f t="shared" si="11"/>
        <v>0</v>
      </c>
      <c r="BJ105" s="24">
        <f t="shared" si="11"/>
        <v>135</v>
      </c>
      <c r="BK105" s="24">
        <f t="shared" si="11"/>
        <v>274</v>
      </c>
      <c r="BL105" s="37">
        <f t="shared" ref="BL105:BM111" si="12">SUM(B105+D105+F105+H105+J105+L105+N105+P105+R105+T105+V105+X105+Z105+AB105+AD105+AF105+AH105+AJ105+AL105+AN105+AP105+AR105+AT105+AV105+AX105+AZ105+BB105+BD105+BF105+BH105+BJ105)</f>
        <v>16722.86</v>
      </c>
      <c r="BM105" s="37">
        <f t="shared" si="12"/>
        <v>33493.71</v>
      </c>
    </row>
    <row r="106" spans="1:65" x14ac:dyDescent="0.25">
      <c r="A106" s="24" t="s">
        <v>286</v>
      </c>
      <c r="B106" s="24">
        <f t="shared" ref="B106:Q111" si="13">B117-B95-B84-B73-B62-B51-B40-B29-B18-B7</f>
        <v>0</v>
      </c>
      <c r="C106" s="24">
        <f t="shared" si="13"/>
        <v>0</v>
      </c>
      <c r="D106" s="24">
        <f t="shared" si="13"/>
        <v>0</v>
      </c>
      <c r="E106" s="24">
        <f t="shared" si="13"/>
        <v>0</v>
      </c>
      <c r="F106" s="24">
        <f t="shared" si="13"/>
        <v>0</v>
      </c>
      <c r="G106" s="24">
        <f t="shared" si="13"/>
        <v>0</v>
      </c>
      <c r="H106" s="24">
        <f t="shared" si="13"/>
        <v>437</v>
      </c>
      <c r="I106" s="24">
        <f t="shared" si="13"/>
        <v>816</v>
      </c>
      <c r="J106" s="24">
        <f t="shared" si="13"/>
        <v>300</v>
      </c>
      <c r="K106" s="24">
        <f t="shared" si="13"/>
        <v>574</v>
      </c>
      <c r="L106" s="24">
        <f t="shared" si="13"/>
        <v>8</v>
      </c>
      <c r="M106" s="24">
        <f t="shared" si="13"/>
        <v>0</v>
      </c>
      <c r="N106" s="24">
        <f t="shared" si="13"/>
        <v>292</v>
      </c>
      <c r="O106" s="24">
        <f t="shared" si="13"/>
        <v>476</v>
      </c>
      <c r="P106" s="24">
        <f t="shared" si="13"/>
        <v>0</v>
      </c>
      <c r="Q106" s="24">
        <f t="shared" si="13"/>
        <v>0</v>
      </c>
      <c r="R106" s="24">
        <f t="shared" si="11"/>
        <v>0</v>
      </c>
      <c r="S106" s="24">
        <f t="shared" si="11"/>
        <v>4.0000000000034674E-2</v>
      </c>
      <c r="T106" s="24">
        <f t="shared" si="11"/>
        <v>37.190000000000012</v>
      </c>
      <c r="U106" s="24">
        <f t="shared" si="11"/>
        <v>70.570000000000022</v>
      </c>
      <c r="V106" s="24">
        <f t="shared" si="11"/>
        <v>585</v>
      </c>
      <c r="W106" s="24">
        <f t="shared" si="11"/>
        <v>975</v>
      </c>
      <c r="X106" s="24">
        <f t="shared" si="11"/>
        <v>388</v>
      </c>
      <c r="Y106" s="24">
        <f t="shared" si="11"/>
        <v>822</v>
      </c>
      <c r="Z106" s="24">
        <f t="shared" si="11"/>
        <v>827</v>
      </c>
      <c r="AA106" s="24">
        <f t="shared" si="11"/>
        <v>1460</v>
      </c>
      <c r="AB106" s="24">
        <f t="shared" si="11"/>
        <v>5</v>
      </c>
      <c r="AC106" s="24">
        <f t="shared" si="11"/>
        <v>12</v>
      </c>
      <c r="AD106" s="24">
        <f t="shared" si="11"/>
        <v>59</v>
      </c>
      <c r="AE106" s="24">
        <f t="shared" si="11"/>
        <v>73</v>
      </c>
      <c r="AF106" s="24">
        <f t="shared" si="11"/>
        <v>-2</v>
      </c>
      <c r="AG106" s="24">
        <f t="shared" si="11"/>
        <v>4</v>
      </c>
      <c r="AH106" s="24">
        <f t="shared" si="11"/>
        <v>0.91999999999995907</v>
      </c>
      <c r="AI106" s="24">
        <f t="shared" si="11"/>
        <v>1.0299999999999727</v>
      </c>
      <c r="AJ106" s="24">
        <f t="shared" si="11"/>
        <v>0</v>
      </c>
      <c r="AK106" s="24">
        <f t="shared" si="11"/>
        <v>0</v>
      </c>
      <c r="AL106" s="24">
        <f t="shared" si="11"/>
        <v>0</v>
      </c>
      <c r="AM106" s="24">
        <f t="shared" si="11"/>
        <v>0</v>
      </c>
      <c r="AN106" s="24">
        <f t="shared" si="11"/>
        <v>0</v>
      </c>
      <c r="AO106" s="24">
        <f t="shared" si="11"/>
        <v>0</v>
      </c>
      <c r="AP106" s="24">
        <f t="shared" si="11"/>
        <v>2</v>
      </c>
      <c r="AQ106" s="24">
        <f t="shared" si="11"/>
        <v>5</v>
      </c>
      <c r="AR106" s="24">
        <f t="shared" si="11"/>
        <v>65</v>
      </c>
      <c r="AS106" s="24">
        <f t="shared" si="11"/>
        <v>154</v>
      </c>
      <c r="AT106" s="24">
        <f t="shared" si="11"/>
        <v>9</v>
      </c>
      <c r="AU106" s="24">
        <f t="shared" si="11"/>
        <v>24</v>
      </c>
      <c r="AV106" s="24">
        <f t="shared" si="11"/>
        <v>55</v>
      </c>
      <c r="AW106" s="24">
        <f t="shared" si="11"/>
        <v>136</v>
      </c>
      <c r="AX106" s="24">
        <f t="shared" si="11"/>
        <v>5</v>
      </c>
      <c r="AY106" s="24">
        <f t="shared" si="11"/>
        <v>10</v>
      </c>
      <c r="AZ106" s="24">
        <f t="shared" si="11"/>
        <v>-1</v>
      </c>
      <c r="BA106" s="24">
        <f t="shared" si="11"/>
        <v>1</v>
      </c>
      <c r="BB106" s="24">
        <f t="shared" si="11"/>
        <v>525</v>
      </c>
      <c r="BC106" s="24">
        <f t="shared" si="11"/>
        <v>1012</v>
      </c>
      <c r="BD106" s="24">
        <f t="shared" si="11"/>
        <v>0</v>
      </c>
      <c r="BE106" s="24">
        <f t="shared" si="11"/>
        <v>0</v>
      </c>
      <c r="BF106" s="24">
        <f t="shared" si="11"/>
        <v>755</v>
      </c>
      <c r="BG106" s="24">
        <f t="shared" si="11"/>
        <v>1066</v>
      </c>
      <c r="BH106" s="24">
        <f t="shared" si="11"/>
        <v>0</v>
      </c>
      <c r="BI106" s="24">
        <f t="shared" si="11"/>
        <v>0</v>
      </c>
      <c r="BJ106" s="24">
        <f t="shared" si="11"/>
        <v>21</v>
      </c>
      <c r="BK106" s="24">
        <f t="shared" si="11"/>
        <v>21</v>
      </c>
      <c r="BL106" s="37">
        <f t="shared" si="12"/>
        <v>4373.1100000000006</v>
      </c>
      <c r="BM106" s="37">
        <f t="shared" si="12"/>
        <v>7712.6399999999994</v>
      </c>
    </row>
    <row r="107" spans="1:65" x14ac:dyDescent="0.25">
      <c r="A107" s="24" t="s">
        <v>287</v>
      </c>
      <c r="B107" s="24">
        <f t="shared" si="13"/>
        <v>0</v>
      </c>
      <c r="C107" s="24">
        <f t="shared" si="13"/>
        <v>0</v>
      </c>
      <c r="D107" s="24">
        <f t="shared" si="13"/>
        <v>0</v>
      </c>
      <c r="E107" s="24">
        <f t="shared" si="13"/>
        <v>0</v>
      </c>
      <c r="F107" s="24">
        <f t="shared" si="13"/>
        <v>0</v>
      </c>
      <c r="G107" s="24">
        <f t="shared" si="13"/>
        <v>0</v>
      </c>
      <c r="H107" s="24">
        <f t="shared" si="13"/>
        <v>0</v>
      </c>
      <c r="I107" s="24">
        <f t="shared" si="13"/>
        <v>0</v>
      </c>
      <c r="J107" s="24">
        <f t="shared" si="13"/>
        <v>0</v>
      </c>
      <c r="K107" s="24">
        <f t="shared" si="13"/>
        <v>0</v>
      </c>
      <c r="L107" s="24">
        <f t="shared" si="13"/>
        <v>0</v>
      </c>
      <c r="M107" s="24">
        <f t="shared" si="13"/>
        <v>0</v>
      </c>
      <c r="N107" s="24">
        <f t="shared" si="13"/>
        <v>0</v>
      </c>
      <c r="O107" s="24">
        <f t="shared" si="13"/>
        <v>0</v>
      </c>
      <c r="P107" s="24">
        <f t="shared" si="13"/>
        <v>0</v>
      </c>
      <c r="Q107" s="24">
        <f t="shared" si="13"/>
        <v>0</v>
      </c>
      <c r="R107" s="24">
        <f t="shared" si="11"/>
        <v>0</v>
      </c>
      <c r="S107" s="24">
        <f t="shared" si="11"/>
        <v>0</v>
      </c>
      <c r="T107" s="24">
        <f t="shared" si="11"/>
        <v>0</v>
      </c>
      <c r="U107" s="24">
        <f t="shared" si="11"/>
        <v>0</v>
      </c>
      <c r="V107" s="24">
        <f t="shared" si="11"/>
        <v>0</v>
      </c>
      <c r="W107" s="24">
        <f t="shared" si="11"/>
        <v>0</v>
      </c>
      <c r="X107" s="24">
        <f t="shared" si="11"/>
        <v>0</v>
      </c>
      <c r="Y107" s="24">
        <f t="shared" si="11"/>
        <v>0</v>
      </c>
      <c r="Z107" s="24">
        <f t="shared" si="11"/>
        <v>0</v>
      </c>
      <c r="AA107" s="24">
        <f t="shared" si="11"/>
        <v>0</v>
      </c>
      <c r="AB107" s="24">
        <f t="shared" si="11"/>
        <v>0</v>
      </c>
      <c r="AC107" s="24">
        <f t="shared" si="11"/>
        <v>0</v>
      </c>
      <c r="AD107" s="24">
        <f t="shared" si="11"/>
        <v>0</v>
      </c>
      <c r="AE107" s="24">
        <f t="shared" si="11"/>
        <v>0</v>
      </c>
      <c r="AF107" s="24">
        <f t="shared" si="11"/>
        <v>0</v>
      </c>
      <c r="AG107" s="24">
        <f t="shared" si="11"/>
        <v>0</v>
      </c>
      <c r="AH107" s="24">
        <f t="shared" si="11"/>
        <v>0</v>
      </c>
      <c r="AI107" s="24">
        <f t="shared" si="11"/>
        <v>0</v>
      </c>
      <c r="AJ107" s="24">
        <f t="shared" si="11"/>
        <v>0</v>
      </c>
      <c r="AK107" s="24">
        <f t="shared" si="11"/>
        <v>0</v>
      </c>
      <c r="AL107" s="24">
        <f t="shared" si="11"/>
        <v>0</v>
      </c>
      <c r="AM107" s="24">
        <f t="shared" si="11"/>
        <v>0</v>
      </c>
      <c r="AN107" s="24">
        <f t="shared" si="11"/>
        <v>0</v>
      </c>
      <c r="AO107" s="24">
        <f t="shared" si="11"/>
        <v>0</v>
      </c>
      <c r="AP107" s="24">
        <f t="shared" si="11"/>
        <v>0</v>
      </c>
      <c r="AQ107" s="24">
        <f t="shared" si="11"/>
        <v>0</v>
      </c>
      <c r="AR107" s="24">
        <f t="shared" si="11"/>
        <v>26</v>
      </c>
      <c r="AS107" s="24">
        <f t="shared" si="11"/>
        <v>26</v>
      </c>
      <c r="AT107" s="24">
        <f t="shared" si="11"/>
        <v>0</v>
      </c>
      <c r="AU107" s="24">
        <f t="shared" si="11"/>
        <v>0</v>
      </c>
      <c r="AV107" s="24">
        <f t="shared" si="11"/>
        <v>0</v>
      </c>
      <c r="AW107" s="24">
        <f t="shared" si="11"/>
        <v>0</v>
      </c>
      <c r="AX107" s="24">
        <f t="shared" si="11"/>
        <v>0</v>
      </c>
      <c r="AY107" s="24">
        <f t="shared" si="11"/>
        <v>0</v>
      </c>
      <c r="AZ107" s="24">
        <f t="shared" si="11"/>
        <v>0</v>
      </c>
      <c r="BA107" s="24">
        <f t="shared" si="11"/>
        <v>0</v>
      </c>
      <c r="BB107" s="24">
        <f t="shared" si="11"/>
        <v>0</v>
      </c>
      <c r="BC107" s="24">
        <f t="shared" si="11"/>
        <v>0</v>
      </c>
      <c r="BD107" s="24">
        <f t="shared" si="11"/>
        <v>0</v>
      </c>
      <c r="BE107" s="24">
        <f t="shared" si="11"/>
        <v>0</v>
      </c>
      <c r="BF107" s="24">
        <f t="shared" si="11"/>
        <v>0</v>
      </c>
      <c r="BG107" s="24">
        <f t="shared" si="11"/>
        <v>1</v>
      </c>
      <c r="BH107" s="24">
        <f t="shared" si="11"/>
        <v>0</v>
      </c>
      <c r="BI107" s="24">
        <f t="shared" si="11"/>
        <v>0</v>
      </c>
      <c r="BJ107" s="24">
        <f t="shared" si="11"/>
        <v>0</v>
      </c>
      <c r="BK107" s="24">
        <f t="shared" si="11"/>
        <v>0</v>
      </c>
      <c r="BL107" s="37">
        <f t="shared" si="12"/>
        <v>26</v>
      </c>
      <c r="BM107" s="37">
        <f t="shared" si="12"/>
        <v>27</v>
      </c>
    </row>
    <row r="108" spans="1:65" s="4" customFormat="1" x14ac:dyDescent="0.25">
      <c r="A108" s="26" t="s">
        <v>288</v>
      </c>
      <c r="B108" s="26">
        <f t="shared" si="13"/>
        <v>1</v>
      </c>
      <c r="C108" s="26">
        <f t="shared" si="13"/>
        <v>2</v>
      </c>
      <c r="D108" s="26">
        <f t="shared" si="13"/>
        <v>5</v>
      </c>
      <c r="E108" s="26">
        <f t="shared" si="13"/>
        <v>13</v>
      </c>
      <c r="F108" s="26">
        <f t="shared" si="13"/>
        <v>0</v>
      </c>
      <c r="G108" s="26">
        <f t="shared" si="13"/>
        <v>0</v>
      </c>
      <c r="H108" s="26">
        <f t="shared" si="13"/>
        <v>2654</v>
      </c>
      <c r="I108" s="26">
        <f t="shared" si="13"/>
        <v>5138</v>
      </c>
      <c r="J108" s="26">
        <f t="shared" si="13"/>
        <v>703</v>
      </c>
      <c r="K108" s="26">
        <f t="shared" si="13"/>
        <v>1450</v>
      </c>
      <c r="L108" s="26">
        <f t="shared" si="13"/>
        <v>287</v>
      </c>
      <c r="M108" s="26">
        <f t="shared" si="13"/>
        <v>548</v>
      </c>
      <c r="N108" s="26">
        <f t="shared" si="13"/>
        <v>1248</v>
      </c>
      <c r="O108" s="26">
        <f t="shared" si="13"/>
        <v>3573</v>
      </c>
      <c r="P108" s="26">
        <f t="shared" si="13"/>
        <v>569.71</v>
      </c>
      <c r="Q108" s="26">
        <f t="shared" si="13"/>
        <v>851.8</v>
      </c>
      <c r="R108" s="26">
        <f t="shared" si="11"/>
        <v>129.18</v>
      </c>
      <c r="S108" s="26">
        <f t="shared" si="11"/>
        <v>169.47000000000011</v>
      </c>
      <c r="T108" s="26">
        <f t="shared" si="11"/>
        <v>866.59999999999968</v>
      </c>
      <c r="U108" s="26">
        <f t="shared" si="11"/>
        <v>1700.9900000000002</v>
      </c>
      <c r="V108" s="26">
        <f t="shared" si="11"/>
        <v>2721</v>
      </c>
      <c r="W108" s="26">
        <f t="shared" si="11"/>
        <v>4708</v>
      </c>
      <c r="X108" s="26">
        <f t="shared" si="11"/>
        <v>3210</v>
      </c>
      <c r="Y108" s="26">
        <f t="shared" si="11"/>
        <v>6069</v>
      </c>
      <c r="Z108" s="26">
        <f t="shared" si="11"/>
        <v>3026</v>
      </c>
      <c r="AA108" s="26">
        <f t="shared" si="11"/>
        <v>5846</v>
      </c>
      <c r="AB108" s="26">
        <f t="shared" si="11"/>
        <v>71</v>
      </c>
      <c r="AC108" s="26">
        <f t="shared" si="11"/>
        <v>127</v>
      </c>
      <c r="AD108" s="26">
        <f t="shared" si="11"/>
        <v>237</v>
      </c>
      <c r="AE108" s="26">
        <f t="shared" si="11"/>
        <v>532</v>
      </c>
      <c r="AF108" s="26">
        <f t="shared" si="11"/>
        <v>8</v>
      </c>
      <c r="AG108" s="26">
        <f t="shared" si="11"/>
        <v>34</v>
      </c>
      <c r="AH108" s="26">
        <f t="shared" si="11"/>
        <v>2.4699999999997999</v>
      </c>
      <c r="AI108" s="26">
        <f t="shared" si="11"/>
        <v>5.0799999999999272</v>
      </c>
      <c r="AJ108" s="26">
        <f t="shared" si="11"/>
        <v>1708</v>
      </c>
      <c r="AK108" s="26">
        <f t="shared" si="11"/>
        <v>3348</v>
      </c>
      <c r="AL108" s="26">
        <f t="shared" si="11"/>
        <v>0</v>
      </c>
      <c r="AM108" s="26">
        <f t="shared" si="11"/>
        <v>0</v>
      </c>
      <c r="AN108" s="26">
        <f t="shared" si="11"/>
        <v>20</v>
      </c>
      <c r="AO108" s="26">
        <f t="shared" si="11"/>
        <v>33</v>
      </c>
      <c r="AP108" s="26">
        <f t="shared" si="11"/>
        <v>28</v>
      </c>
      <c r="AQ108" s="26">
        <f t="shared" si="11"/>
        <v>60</v>
      </c>
      <c r="AR108" s="26">
        <f t="shared" si="11"/>
        <v>441</v>
      </c>
      <c r="AS108" s="26">
        <f t="shared" si="11"/>
        <v>931</v>
      </c>
      <c r="AT108" s="26">
        <f t="shared" si="11"/>
        <v>48</v>
      </c>
      <c r="AU108" s="26">
        <f t="shared" si="11"/>
        <v>118</v>
      </c>
      <c r="AV108" s="26">
        <f t="shared" si="11"/>
        <v>541</v>
      </c>
      <c r="AW108" s="26">
        <f t="shared" si="11"/>
        <v>1140</v>
      </c>
      <c r="AX108" s="26">
        <f t="shared" si="11"/>
        <v>30</v>
      </c>
      <c r="AY108" s="26">
        <f t="shared" si="11"/>
        <v>61</v>
      </c>
      <c r="AZ108" s="26">
        <f t="shared" si="11"/>
        <v>6</v>
      </c>
      <c r="BA108" s="26">
        <f t="shared" si="11"/>
        <v>13</v>
      </c>
      <c r="BB108" s="26">
        <f t="shared" si="11"/>
        <v>1672</v>
      </c>
      <c r="BC108" s="26">
        <f t="shared" si="11"/>
        <v>3529</v>
      </c>
      <c r="BD108" s="26">
        <f t="shared" si="11"/>
        <v>5564</v>
      </c>
      <c r="BE108" s="26">
        <f t="shared" si="11"/>
        <v>9901</v>
      </c>
      <c r="BF108" s="26">
        <f t="shared" si="11"/>
        <v>2441</v>
      </c>
      <c r="BG108" s="26">
        <f t="shared" si="11"/>
        <v>4291</v>
      </c>
      <c r="BH108" s="26">
        <f t="shared" si="11"/>
        <v>4002</v>
      </c>
      <c r="BI108" s="26">
        <f t="shared" si="11"/>
        <v>6133</v>
      </c>
      <c r="BJ108" s="26">
        <f t="shared" si="11"/>
        <v>155</v>
      </c>
      <c r="BK108" s="26">
        <f t="shared" si="11"/>
        <v>294</v>
      </c>
      <c r="BL108" s="39">
        <f t="shared" si="12"/>
        <v>32394.959999999999</v>
      </c>
      <c r="BM108" s="39">
        <f t="shared" si="12"/>
        <v>60619.34</v>
      </c>
    </row>
    <row r="109" spans="1:65" x14ac:dyDescent="0.25">
      <c r="A109" s="24" t="s">
        <v>289</v>
      </c>
      <c r="B109" s="24">
        <f t="shared" si="13"/>
        <v>0</v>
      </c>
      <c r="C109" s="24">
        <f t="shared" si="13"/>
        <v>0</v>
      </c>
      <c r="D109" s="24">
        <f t="shared" si="13"/>
        <v>0</v>
      </c>
      <c r="E109" s="24">
        <f t="shared" si="13"/>
        <v>0</v>
      </c>
      <c r="F109" s="24">
        <f t="shared" si="13"/>
        <v>0</v>
      </c>
      <c r="G109" s="24">
        <f t="shared" si="13"/>
        <v>0</v>
      </c>
      <c r="H109" s="24">
        <f t="shared" si="13"/>
        <v>-2</v>
      </c>
      <c r="I109" s="24">
        <f t="shared" si="13"/>
        <v>-2</v>
      </c>
      <c r="J109" s="24">
        <f t="shared" si="13"/>
        <v>0</v>
      </c>
      <c r="K109" s="24">
        <f t="shared" si="13"/>
        <v>0</v>
      </c>
      <c r="L109" s="24">
        <f t="shared" si="13"/>
        <v>0</v>
      </c>
      <c r="M109" s="24">
        <f t="shared" si="13"/>
        <v>1</v>
      </c>
      <c r="N109" s="24">
        <f t="shared" si="13"/>
        <v>14</v>
      </c>
      <c r="O109" s="24">
        <f t="shared" si="13"/>
        <v>90</v>
      </c>
      <c r="P109" s="24">
        <f t="shared" si="13"/>
        <v>0</v>
      </c>
      <c r="Q109" s="24">
        <f t="shared" si="13"/>
        <v>0</v>
      </c>
      <c r="R109" s="24">
        <f t="shared" si="11"/>
        <v>9.9999999999980105E-3</v>
      </c>
      <c r="S109" s="24">
        <f t="shared" si="11"/>
        <v>1.0000000000005116E-2</v>
      </c>
      <c r="T109" s="24">
        <f t="shared" si="11"/>
        <v>1.0000000000005116E-2</v>
      </c>
      <c r="U109" s="24">
        <f t="shared" si="11"/>
        <v>0</v>
      </c>
      <c r="V109" s="24">
        <f t="shared" si="11"/>
        <v>107</v>
      </c>
      <c r="W109" s="24">
        <f t="shared" si="11"/>
        <v>198</v>
      </c>
      <c r="X109" s="24">
        <f t="shared" si="11"/>
        <v>30</v>
      </c>
      <c r="Y109" s="24">
        <f t="shared" si="11"/>
        <v>234</v>
      </c>
      <c r="Z109" s="24">
        <f t="shared" si="11"/>
        <v>0</v>
      </c>
      <c r="AA109" s="24">
        <f t="shared" si="11"/>
        <v>1</v>
      </c>
      <c r="AB109" s="24">
        <f t="shared" si="11"/>
        <v>-1</v>
      </c>
      <c r="AC109" s="24">
        <f t="shared" si="11"/>
        <v>4</v>
      </c>
      <c r="AD109" s="24">
        <f t="shared" si="11"/>
        <v>0</v>
      </c>
      <c r="AE109" s="24">
        <f t="shared" si="11"/>
        <v>0</v>
      </c>
      <c r="AF109" s="24">
        <f t="shared" si="11"/>
        <v>1</v>
      </c>
      <c r="AG109" s="24">
        <f t="shared" si="11"/>
        <v>5</v>
      </c>
      <c r="AH109" s="24">
        <f t="shared" si="11"/>
        <v>0</v>
      </c>
      <c r="AI109" s="24">
        <f t="shared" si="11"/>
        <v>0</v>
      </c>
      <c r="AJ109" s="24">
        <f t="shared" si="11"/>
        <v>61</v>
      </c>
      <c r="AK109" s="24">
        <f t="shared" si="11"/>
        <v>67</v>
      </c>
      <c r="AL109" s="24">
        <f t="shared" si="11"/>
        <v>0</v>
      </c>
      <c r="AM109" s="24">
        <f t="shared" si="11"/>
        <v>0</v>
      </c>
      <c r="AN109" s="24">
        <f t="shared" si="11"/>
        <v>0</v>
      </c>
      <c r="AO109" s="24">
        <f t="shared" si="11"/>
        <v>0</v>
      </c>
      <c r="AP109" s="24">
        <f t="shared" si="11"/>
        <v>0</v>
      </c>
      <c r="AQ109" s="24">
        <f t="shared" si="11"/>
        <v>0</v>
      </c>
      <c r="AR109" s="24">
        <f t="shared" si="11"/>
        <v>1</v>
      </c>
      <c r="AS109" s="24">
        <f t="shared" si="11"/>
        <v>3</v>
      </c>
      <c r="AT109" s="24">
        <f t="shared" si="11"/>
        <v>0</v>
      </c>
      <c r="AU109" s="24">
        <f t="shared" si="11"/>
        <v>0</v>
      </c>
      <c r="AV109" s="24">
        <f t="shared" si="11"/>
        <v>0</v>
      </c>
      <c r="AW109" s="24">
        <f t="shared" si="11"/>
        <v>-1</v>
      </c>
      <c r="AX109" s="24">
        <f t="shared" si="11"/>
        <v>0</v>
      </c>
      <c r="AY109" s="24">
        <f t="shared" si="11"/>
        <v>2</v>
      </c>
      <c r="AZ109" s="24">
        <f t="shared" si="11"/>
        <v>0</v>
      </c>
      <c r="BA109" s="24">
        <f t="shared" si="11"/>
        <v>0</v>
      </c>
      <c r="BB109" s="24">
        <f t="shared" si="11"/>
        <v>0</v>
      </c>
      <c r="BC109" s="24">
        <f t="shared" si="11"/>
        <v>1</v>
      </c>
      <c r="BD109" s="24">
        <f t="shared" si="11"/>
        <v>24</v>
      </c>
      <c r="BE109" s="24">
        <f t="shared" si="11"/>
        <v>43</v>
      </c>
      <c r="BF109" s="24">
        <f t="shared" si="11"/>
        <v>31</v>
      </c>
      <c r="BG109" s="24">
        <f t="shared" si="11"/>
        <v>47</v>
      </c>
      <c r="BH109" s="24">
        <f t="shared" si="11"/>
        <v>1</v>
      </c>
      <c r="BI109" s="24">
        <f t="shared" si="11"/>
        <v>-6</v>
      </c>
      <c r="BJ109" s="24">
        <f t="shared" si="11"/>
        <v>1</v>
      </c>
      <c r="BK109" s="24">
        <f t="shared" si="11"/>
        <v>1</v>
      </c>
      <c r="BL109" s="37">
        <f t="shared" si="12"/>
        <v>268.02</v>
      </c>
      <c r="BM109" s="37">
        <f t="shared" si="12"/>
        <v>688.01</v>
      </c>
    </row>
    <row r="110" spans="1:65" x14ac:dyDescent="0.25">
      <c r="A110" s="24" t="s">
        <v>290</v>
      </c>
      <c r="B110" s="24">
        <f t="shared" si="13"/>
        <v>38</v>
      </c>
      <c r="C110" s="24">
        <f t="shared" si="13"/>
        <v>66</v>
      </c>
      <c r="D110" s="24">
        <f t="shared" si="13"/>
        <v>7</v>
      </c>
      <c r="E110" s="24">
        <f t="shared" si="13"/>
        <v>15</v>
      </c>
      <c r="F110" s="24">
        <f t="shared" si="13"/>
        <v>0</v>
      </c>
      <c r="G110" s="24">
        <f t="shared" si="13"/>
        <v>0</v>
      </c>
      <c r="H110" s="24">
        <f t="shared" si="13"/>
        <v>-4056</v>
      </c>
      <c r="I110" s="24">
        <f t="shared" si="13"/>
        <v>-8600</v>
      </c>
      <c r="J110" s="24">
        <f t="shared" si="13"/>
        <v>24</v>
      </c>
      <c r="K110" s="24">
        <f t="shared" si="13"/>
        <v>75</v>
      </c>
      <c r="L110" s="24">
        <f t="shared" si="13"/>
        <v>18</v>
      </c>
      <c r="M110" s="24">
        <f t="shared" si="13"/>
        <v>61</v>
      </c>
      <c r="N110" s="24">
        <f t="shared" si="13"/>
        <v>-1420</v>
      </c>
      <c r="O110" s="24">
        <f t="shared" si="13"/>
        <v>-4168</v>
      </c>
      <c r="P110" s="24">
        <f t="shared" si="13"/>
        <v>749.91</v>
      </c>
      <c r="Q110" s="24">
        <f t="shared" si="13"/>
        <v>1399.09</v>
      </c>
      <c r="R110" s="24">
        <f t="shared" si="11"/>
        <v>26.259999999999998</v>
      </c>
      <c r="S110" s="24">
        <f t="shared" si="11"/>
        <v>35.620000000000175</v>
      </c>
      <c r="T110" s="24">
        <f t="shared" si="11"/>
        <v>785.59000000000083</v>
      </c>
      <c r="U110" s="24">
        <f t="shared" si="11"/>
        <v>1705.6300000000015</v>
      </c>
      <c r="V110" s="24">
        <f t="shared" si="11"/>
        <v>-2523</v>
      </c>
      <c r="W110" s="24">
        <f t="shared" si="11"/>
        <v>-5702</v>
      </c>
      <c r="X110" s="24">
        <f t="shared" si="11"/>
        <v>1980</v>
      </c>
      <c r="Y110" s="24">
        <f t="shared" si="11"/>
        <v>3669</v>
      </c>
      <c r="Z110" s="24">
        <f t="shared" si="11"/>
        <v>860</v>
      </c>
      <c r="AA110" s="24">
        <f t="shared" si="11"/>
        <v>1625</v>
      </c>
      <c r="AB110" s="24">
        <f t="shared" ref="AB110:BK110" si="14">AB121-AB99-AB88-AB77-AB66-AB55-AB44-AB33-AB22-AB11</f>
        <v>88</v>
      </c>
      <c r="AC110" s="24">
        <f t="shared" si="14"/>
        <v>171</v>
      </c>
      <c r="AD110" s="24">
        <f t="shared" si="14"/>
        <v>108</v>
      </c>
      <c r="AE110" s="24">
        <f t="shared" si="14"/>
        <v>405</v>
      </c>
      <c r="AF110" s="24">
        <f t="shared" si="14"/>
        <v>-143</v>
      </c>
      <c r="AG110" s="24">
        <f t="shared" si="14"/>
        <v>-196</v>
      </c>
      <c r="AH110" s="24">
        <f t="shared" si="14"/>
        <v>0.21000000000000796</v>
      </c>
      <c r="AI110" s="24">
        <f t="shared" si="14"/>
        <v>0.46000000000003638</v>
      </c>
      <c r="AJ110" s="24">
        <f t="shared" si="14"/>
        <v>159</v>
      </c>
      <c r="AK110" s="24">
        <f t="shared" si="14"/>
        <v>271</v>
      </c>
      <c r="AL110" s="24">
        <f t="shared" si="14"/>
        <v>-6</v>
      </c>
      <c r="AM110" s="24">
        <f t="shared" si="14"/>
        <v>-6</v>
      </c>
      <c r="AN110" s="24">
        <f t="shared" si="14"/>
        <v>20</v>
      </c>
      <c r="AO110" s="24">
        <f t="shared" si="14"/>
        <v>35</v>
      </c>
      <c r="AP110" s="24">
        <f t="shared" si="14"/>
        <v>2</v>
      </c>
      <c r="AQ110" s="24">
        <f t="shared" si="14"/>
        <v>7</v>
      </c>
      <c r="AR110" s="24">
        <f t="shared" si="14"/>
        <v>57</v>
      </c>
      <c r="AS110" s="24">
        <f t="shared" si="14"/>
        <v>151</v>
      </c>
      <c r="AT110" s="24">
        <f t="shared" si="14"/>
        <v>31</v>
      </c>
      <c r="AU110" s="24">
        <f t="shared" si="14"/>
        <v>85</v>
      </c>
      <c r="AV110" s="24">
        <f t="shared" si="14"/>
        <v>314</v>
      </c>
      <c r="AW110" s="24">
        <f t="shared" si="14"/>
        <v>681</v>
      </c>
      <c r="AX110" s="24">
        <f t="shared" si="14"/>
        <v>18</v>
      </c>
      <c r="AY110" s="24">
        <f t="shared" si="14"/>
        <v>35</v>
      </c>
      <c r="AZ110" s="24">
        <f t="shared" si="14"/>
        <v>8</v>
      </c>
      <c r="BA110" s="24">
        <f t="shared" si="14"/>
        <v>14</v>
      </c>
      <c r="BB110" s="24">
        <f t="shared" si="14"/>
        <v>826</v>
      </c>
      <c r="BC110" s="24">
        <f t="shared" si="14"/>
        <v>1945</v>
      </c>
      <c r="BD110" s="24">
        <f t="shared" si="14"/>
        <v>1594</v>
      </c>
      <c r="BE110" s="24">
        <f t="shared" si="14"/>
        <v>3396</v>
      </c>
      <c r="BF110" s="24">
        <f t="shared" si="14"/>
        <v>125</v>
      </c>
      <c r="BG110" s="24">
        <f t="shared" si="14"/>
        <v>344</v>
      </c>
      <c r="BH110" s="24">
        <f t="shared" si="14"/>
        <v>136</v>
      </c>
      <c r="BI110" s="24">
        <f t="shared" si="14"/>
        <v>522</v>
      </c>
      <c r="BJ110" s="24">
        <f t="shared" si="14"/>
        <v>22</v>
      </c>
      <c r="BK110" s="24">
        <f t="shared" si="14"/>
        <v>73</v>
      </c>
      <c r="BL110" s="37">
        <f t="shared" si="12"/>
        <v>-151.02999999999884</v>
      </c>
      <c r="BM110" s="37">
        <f t="shared" si="12"/>
        <v>-1885.1999999999971</v>
      </c>
    </row>
    <row r="111" spans="1:65" s="4" customFormat="1" x14ac:dyDescent="0.25">
      <c r="A111" s="26" t="s">
        <v>190</v>
      </c>
      <c r="B111" s="26">
        <f t="shared" si="13"/>
        <v>-37</v>
      </c>
      <c r="C111" s="26">
        <f t="shared" si="13"/>
        <v>-64</v>
      </c>
      <c r="D111" s="26">
        <f t="shared" si="13"/>
        <v>-2</v>
      </c>
      <c r="E111" s="26">
        <f t="shared" si="13"/>
        <v>-2</v>
      </c>
      <c r="F111" s="26">
        <f t="shared" si="13"/>
        <v>0</v>
      </c>
      <c r="G111" s="26">
        <f t="shared" si="13"/>
        <v>0</v>
      </c>
      <c r="H111" s="26">
        <f t="shared" si="13"/>
        <v>-1403</v>
      </c>
      <c r="I111" s="26">
        <f t="shared" si="13"/>
        <v>-3463</v>
      </c>
      <c r="J111" s="26">
        <f t="shared" si="13"/>
        <v>679</v>
      </c>
      <c r="K111" s="26">
        <f t="shared" si="13"/>
        <v>1375</v>
      </c>
      <c r="L111" s="26">
        <f t="shared" si="13"/>
        <v>269</v>
      </c>
      <c r="M111" s="26">
        <f t="shared" si="13"/>
        <v>487</v>
      </c>
      <c r="N111" s="26">
        <f t="shared" si="13"/>
        <v>-158</v>
      </c>
      <c r="O111" s="26">
        <f t="shared" si="13"/>
        <v>-505</v>
      </c>
      <c r="P111" s="26">
        <f t="shared" si="13"/>
        <v>-180.2</v>
      </c>
      <c r="Q111" s="26">
        <f t="shared" si="13"/>
        <v>-547.29</v>
      </c>
      <c r="R111" s="26">
        <f t="shared" ref="R111:BK111" si="15">R122-R100-R89-R78-R67-R56-R45-R34-R23-R12</f>
        <v>102.92999999999998</v>
      </c>
      <c r="S111" s="26">
        <f t="shared" si="15"/>
        <v>133.86000000000004</v>
      </c>
      <c r="T111" s="26">
        <f t="shared" si="15"/>
        <v>81.029999999999745</v>
      </c>
      <c r="U111" s="26">
        <f t="shared" si="15"/>
        <v>-4.6199999999992087</v>
      </c>
      <c r="V111" s="26">
        <f t="shared" si="15"/>
        <v>303</v>
      </c>
      <c r="W111" s="26">
        <f t="shared" si="15"/>
        <v>-795</v>
      </c>
      <c r="X111" s="26">
        <f t="shared" si="15"/>
        <v>1260</v>
      </c>
      <c r="Y111" s="26">
        <f t="shared" si="15"/>
        <v>2634</v>
      </c>
      <c r="Z111" s="26">
        <f t="shared" si="15"/>
        <v>2166</v>
      </c>
      <c r="AA111" s="26">
        <f t="shared" si="15"/>
        <v>4222</v>
      </c>
      <c r="AB111" s="26">
        <f t="shared" si="15"/>
        <v>-18</v>
      </c>
      <c r="AC111" s="26">
        <f t="shared" si="15"/>
        <v>-42</v>
      </c>
      <c r="AD111" s="26">
        <f t="shared" si="15"/>
        <v>130</v>
      </c>
      <c r="AE111" s="26">
        <f t="shared" si="15"/>
        <v>126</v>
      </c>
      <c r="AF111" s="26">
        <f t="shared" si="15"/>
        <v>-135</v>
      </c>
      <c r="AG111" s="26">
        <f t="shared" si="15"/>
        <v>-157</v>
      </c>
      <c r="AH111" s="26">
        <f t="shared" si="15"/>
        <v>2.2600000000002183</v>
      </c>
      <c r="AI111" s="26">
        <f t="shared" si="15"/>
        <v>4.6199999999998909</v>
      </c>
      <c r="AJ111" s="26">
        <f t="shared" si="15"/>
        <v>1606</v>
      </c>
      <c r="AK111" s="26">
        <f t="shared" si="15"/>
        <v>3143</v>
      </c>
      <c r="AL111" s="26">
        <f t="shared" si="15"/>
        <v>-6</v>
      </c>
      <c r="AM111" s="26">
        <f t="shared" si="15"/>
        <v>-6</v>
      </c>
      <c r="AN111" s="26">
        <f t="shared" si="15"/>
        <v>-1</v>
      </c>
      <c r="AO111" s="26">
        <f t="shared" si="15"/>
        <v>-2</v>
      </c>
      <c r="AP111" s="26">
        <f t="shared" si="15"/>
        <v>25</v>
      </c>
      <c r="AQ111" s="26">
        <f t="shared" si="15"/>
        <v>53</v>
      </c>
      <c r="AR111" s="26">
        <f t="shared" si="15"/>
        <v>385</v>
      </c>
      <c r="AS111" s="26">
        <f t="shared" si="15"/>
        <v>784</v>
      </c>
      <c r="AT111" s="26">
        <f t="shared" si="15"/>
        <v>16</v>
      </c>
      <c r="AU111" s="26">
        <f t="shared" si="15"/>
        <v>33</v>
      </c>
      <c r="AV111" s="26">
        <f t="shared" si="15"/>
        <v>229</v>
      </c>
      <c r="AW111" s="26">
        <f t="shared" si="15"/>
        <v>460</v>
      </c>
      <c r="AX111" s="26">
        <f t="shared" si="15"/>
        <v>11</v>
      </c>
      <c r="AY111" s="26">
        <f t="shared" si="15"/>
        <v>29</v>
      </c>
      <c r="AZ111" s="26">
        <f t="shared" si="15"/>
        <v>-3</v>
      </c>
      <c r="BA111" s="26">
        <f t="shared" si="15"/>
        <v>-1</v>
      </c>
      <c r="BB111" s="26">
        <f t="shared" si="15"/>
        <v>844</v>
      </c>
      <c r="BC111" s="26">
        <f t="shared" si="15"/>
        <v>1587</v>
      </c>
      <c r="BD111" s="26">
        <f t="shared" si="15"/>
        <v>3995</v>
      </c>
      <c r="BE111" s="26">
        <f t="shared" si="15"/>
        <v>6550</v>
      </c>
      <c r="BF111" s="26">
        <f t="shared" si="15"/>
        <v>2349</v>
      </c>
      <c r="BG111" s="26">
        <f t="shared" si="15"/>
        <v>3997</v>
      </c>
      <c r="BH111" s="26">
        <f t="shared" si="15"/>
        <v>3868</v>
      </c>
      <c r="BI111" s="26">
        <f t="shared" si="15"/>
        <v>5604</v>
      </c>
      <c r="BJ111" s="26">
        <f t="shared" si="15"/>
        <v>133</v>
      </c>
      <c r="BK111" s="26">
        <f t="shared" si="15"/>
        <v>220</v>
      </c>
      <c r="BL111" s="39">
        <f t="shared" si="12"/>
        <v>16511.02</v>
      </c>
      <c r="BM111" s="39">
        <f t="shared" si="12"/>
        <v>25853.57</v>
      </c>
    </row>
    <row r="113" spans="1:65" x14ac:dyDescent="0.25">
      <c r="A113" s="7" t="s">
        <v>40</v>
      </c>
    </row>
    <row r="114" spans="1:65" x14ac:dyDescent="0.25">
      <c r="A114" s="38" t="s">
        <v>0</v>
      </c>
      <c r="B114" s="94" t="s">
        <v>1</v>
      </c>
      <c r="C114" s="95"/>
      <c r="D114" s="94" t="s">
        <v>232</v>
      </c>
      <c r="E114" s="95"/>
      <c r="F114" s="94" t="s">
        <v>2</v>
      </c>
      <c r="G114" s="95"/>
      <c r="H114" s="94" t="s">
        <v>3</v>
      </c>
      <c r="I114" s="95"/>
      <c r="J114" s="94" t="s">
        <v>241</v>
      </c>
      <c r="K114" s="95"/>
      <c r="L114" s="94" t="s">
        <v>233</v>
      </c>
      <c r="M114" s="95"/>
      <c r="N114" s="94" t="s">
        <v>246</v>
      </c>
      <c r="O114" s="95"/>
      <c r="P114" s="94" t="s">
        <v>5</v>
      </c>
      <c r="Q114" s="95"/>
      <c r="R114" s="94" t="s">
        <v>4</v>
      </c>
      <c r="S114" s="95"/>
      <c r="T114" s="94" t="s">
        <v>6</v>
      </c>
      <c r="U114" s="95"/>
      <c r="V114" s="94" t="s">
        <v>7</v>
      </c>
      <c r="W114" s="95"/>
      <c r="X114" s="94" t="s">
        <v>8</v>
      </c>
      <c r="Y114" s="95"/>
      <c r="Z114" s="94" t="s">
        <v>9</v>
      </c>
      <c r="AA114" s="95"/>
      <c r="AB114" s="94" t="s">
        <v>240</v>
      </c>
      <c r="AC114" s="95"/>
      <c r="AD114" s="94" t="s">
        <v>10</v>
      </c>
      <c r="AE114" s="95"/>
      <c r="AF114" s="94" t="s">
        <v>11</v>
      </c>
      <c r="AG114" s="95"/>
      <c r="AH114" s="94" t="s">
        <v>234</v>
      </c>
      <c r="AI114" s="95"/>
      <c r="AJ114" s="94" t="s">
        <v>12</v>
      </c>
      <c r="AK114" s="95"/>
      <c r="AL114" s="94" t="s">
        <v>235</v>
      </c>
      <c r="AM114" s="95"/>
      <c r="AN114" s="94" t="s">
        <v>300</v>
      </c>
      <c r="AO114" s="95"/>
      <c r="AP114" s="94" t="s">
        <v>236</v>
      </c>
      <c r="AQ114" s="95"/>
      <c r="AR114" s="94" t="s">
        <v>239</v>
      </c>
      <c r="AS114" s="95"/>
      <c r="AT114" s="94" t="s">
        <v>13</v>
      </c>
      <c r="AU114" s="95"/>
      <c r="AV114" s="94" t="s">
        <v>14</v>
      </c>
      <c r="AW114" s="95"/>
      <c r="AX114" s="94" t="s">
        <v>15</v>
      </c>
      <c r="AY114" s="95"/>
      <c r="AZ114" s="94" t="s">
        <v>16</v>
      </c>
      <c r="BA114" s="95"/>
      <c r="BB114" s="94" t="s">
        <v>17</v>
      </c>
      <c r="BC114" s="95"/>
      <c r="BD114" s="94" t="s">
        <v>237</v>
      </c>
      <c r="BE114" s="95"/>
      <c r="BF114" s="94" t="s">
        <v>238</v>
      </c>
      <c r="BG114" s="95"/>
      <c r="BH114" s="94" t="s">
        <v>18</v>
      </c>
      <c r="BI114" s="95"/>
      <c r="BJ114" s="94" t="s">
        <v>19</v>
      </c>
      <c r="BK114" s="95"/>
      <c r="BL114" s="96" t="s">
        <v>20</v>
      </c>
      <c r="BM114" s="97"/>
    </row>
    <row r="115" spans="1:65" ht="30" x14ac:dyDescent="0.25">
      <c r="A115" s="38"/>
      <c r="B115" s="34" t="s">
        <v>298</v>
      </c>
      <c r="C115" s="35" t="s">
        <v>299</v>
      </c>
      <c r="D115" s="34" t="s">
        <v>298</v>
      </c>
      <c r="E115" s="35" t="s">
        <v>299</v>
      </c>
      <c r="F115" s="34" t="s">
        <v>298</v>
      </c>
      <c r="G115" s="35" t="s">
        <v>299</v>
      </c>
      <c r="H115" s="34" t="s">
        <v>298</v>
      </c>
      <c r="I115" s="35" t="s">
        <v>299</v>
      </c>
      <c r="J115" s="34" t="s">
        <v>298</v>
      </c>
      <c r="K115" s="35" t="s">
        <v>299</v>
      </c>
      <c r="L115" s="34" t="s">
        <v>298</v>
      </c>
      <c r="M115" s="35" t="s">
        <v>299</v>
      </c>
      <c r="N115" s="34" t="s">
        <v>298</v>
      </c>
      <c r="O115" s="35" t="s">
        <v>299</v>
      </c>
      <c r="P115" s="34" t="s">
        <v>298</v>
      </c>
      <c r="Q115" s="35" t="s">
        <v>299</v>
      </c>
      <c r="R115" s="34" t="s">
        <v>298</v>
      </c>
      <c r="S115" s="35" t="s">
        <v>299</v>
      </c>
      <c r="T115" s="34" t="s">
        <v>298</v>
      </c>
      <c r="U115" s="35" t="s">
        <v>299</v>
      </c>
      <c r="V115" s="34" t="s">
        <v>298</v>
      </c>
      <c r="W115" s="35" t="s">
        <v>299</v>
      </c>
      <c r="X115" s="34" t="s">
        <v>298</v>
      </c>
      <c r="Y115" s="35" t="s">
        <v>299</v>
      </c>
      <c r="Z115" s="34" t="s">
        <v>298</v>
      </c>
      <c r="AA115" s="35" t="s">
        <v>299</v>
      </c>
      <c r="AB115" s="34" t="s">
        <v>298</v>
      </c>
      <c r="AC115" s="35" t="s">
        <v>299</v>
      </c>
      <c r="AD115" s="34" t="s">
        <v>298</v>
      </c>
      <c r="AE115" s="35" t="s">
        <v>299</v>
      </c>
      <c r="AF115" s="34" t="s">
        <v>298</v>
      </c>
      <c r="AG115" s="35" t="s">
        <v>299</v>
      </c>
      <c r="AH115" s="34" t="s">
        <v>298</v>
      </c>
      <c r="AI115" s="35" t="s">
        <v>299</v>
      </c>
      <c r="AJ115" s="34" t="s">
        <v>298</v>
      </c>
      <c r="AK115" s="35" t="s">
        <v>299</v>
      </c>
      <c r="AL115" s="34" t="s">
        <v>298</v>
      </c>
      <c r="AM115" s="35" t="s">
        <v>299</v>
      </c>
      <c r="AN115" s="34" t="s">
        <v>298</v>
      </c>
      <c r="AO115" s="35" t="s">
        <v>299</v>
      </c>
      <c r="AP115" s="34" t="s">
        <v>298</v>
      </c>
      <c r="AQ115" s="35" t="s">
        <v>299</v>
      </c>
      <c r="AR115" s="34" t="s">
        <v>298</v>
      </c>
      <c r="AS115" s="35" t="s">
        <v>299</v>
      </c>
      <c r="AT115" s="34" t="s">
        <v>298</v>
      </c>
      <c r="AU115" s="35" t="s">
        <v>299</v>
      </c>
      <c r="AV115" s="34" t="s">
        <v>298</v>
      </c>
      <c r="AW115" s="35" t="s">
        <v>299</v>
      </c>
      <c r="AX115" s="34" t="s">
        <v>298</v>
      </c>
      <c r="AY115" s="35" t="s">
        <v>299</v>
      </c>
      <c r="AZ115" s="34" t="s">
        <v>298</v>
      </c>
      <c r="BA115" s="35" t="s">
        <v>299</v>
      </c>
      <c r="BB115" s="34" t="s">
        <v>298</v>
      </c>
      <c r="BC115" s="35" t="s">
        <v>299</v>
      </c>
      <c r="BD115" s="34" t="s">
        <v>298</v>
      </c>
      <c r="BE115" s="35" t="s">
        <v>299</v>
      </c>
      <c r="BF115" s="34" t="s">
        <v>298</v>
      </c>
      <c r="BG115" s="35" t="s">
        <v>299</v>
      </c>
      <c r="BH115" s="34" t="s">
        <v>298</v>
      </c>
      <c r="BI115" s="35" t="s">
        <v>299</v>
      </c>
      <c r="BJ115" s="34" t="s">
        <v>298</v>
      </c>
      <c r="BK115" s="35" t="s">
        <v>299</v>
      </c>
      <c r="BL115" s="34" t="s">
        <v>298</v>
      </c>
      <c r="BM115" s="35" t="s">
        <v>299</v>
      </c>
    </row>
    <row r="116" spans="1:65" x14ac:dyDescent="0.25">
      <c r="A116" s="24" t="s">
        <v>285</v>
      </c>
      <c r="B116" s="24">
        <v>780</v>
      </c>
      <c r="C116" s="24">
        <v>1560</v>
      </c>
      <c r="D116" s="24">
        <v>6065</v>
      </c>
      <c r="E116" s="24">
        <v>11950</v>
      </c>
      <c r="F116" s="24">
        <v>3994</v>
      </c>
      <c r="G116" s="24">
        <v>4051</v>
      </c>
      <c r="H116" s="24">
        <v>20702</v>
      </c>
      <c r="I116" s="24">
        <v>40554</v>
      </c>
      <c r="J116" s="24">
        <v>13309</v>
      </c>
      <c r="K116" s="24">
        <v>24532</v>
      </c>
      <c r="L116" s="24">
        <v>11518</v>
      </c>
      <c r="M116" s="24">
        <v>24446</v>
      </c>
      <c r="N116" s="24">
        <v>6877</v>
      </c>
      <c r="O116" s="24">
        <v>14323</v>
      </c>
      <c r="P116" s="24">
        <v>569.71</v>
      </c>
      <c r="Q116" s="24">
        <v>851.8</v>
      </c>
      <c r="R116" s="24">
        <v>975.45</v>
      </c>
      <c r="S116" s="24">
        <v>1658.12</v>
      </c>
      <c r="T116" s="24">
        <v>6026.68</v>
      </c>
      <c r="U116" s="24">
        <v>12529.06</v>
      </c>
      <c r="V116" s="24">
        <v>30370</v>
      </c>
      <c r="W116" s="24">
        <v>56813</v>
      </c>
      <c r="X116" s="24">
        <v>31107</v>
      </c>
      <c r="Y116" s="24">
        <v>64310</v>
      </c>
      <c r="Z116" s="24">
        <v>16814</v>
      </c>
      <c r="AA116" s="24">
        <v>31662</v>
      </c>
      <c r="AB116" s="24">
        <v>2240</v>
      </c>
      <c r="AC116" s="24">
        <v>3615</v>
      </c>
      <c r="AD116" s="24">
        <v>3870</v>
      </c>
      <c r="AE116" s="24">
        <v>7495</v>
      </c>
      <c r="AF116" s="47">
        <v>3211</v>
      </c>
      <c r="AG116" s="24">
        <v>6389</v>
      </c>
      <c r="AH116" s="24">
        <v>2972.93</v>
      </c>
      <c r="AI116" s="24">
        <v>5321.37</v>
      </c>
      <c r="AJ116" s="24"/>
      <c r="AK116" s="24"/>
      <c r="AL116" s="24">
        <v>-15</v>
      </c>
      <c r="AM116" s="24">
        <v>53</v>
      </c>
      <c r="AN116" s="24">
        <v>9618</v>
      </c>
      <c r="AO116" s="24">
        <v>17599</v>
      </c>
      <c r="AP116" s="24">
        <v>1756</v>
      </c>
      <c r="AQ116" s="24">
        <v>3144</v>
      </c>
      <c r="AR116" s="24">
        <v>10621</v>
      </c>
      <c r="AS116" s="24">
        <v>24306</v>
      </c>
      <c r="AT116" s="24">
        <v>6035</v>
      </c>
      <c r="AU116" s="24">
        <v>11891</v>
      </c>
      <c r="AV116" s="24">
        <v>16726</v>
      </c>
      <c r="AW116" s="24">
        <v>32360</v>
      </c>
      <c r="AX116" s="24">
        <v>2824</v>
      </c>
      <c r="AY116" s="24">
        <v>4702</v>
      </c>
      <c r="AZ116" s="24">
        <v>41231</v>
      </c>
      <c r="BA116" s="24">
        <v>72656</v>
      </c>
      <c r="BB116" s="24">
        <v>21379</v>
      </c>
      <c r="BC116" s="24">
        <v>41325</v>
      </c>
      <c r="BD116" s="24"/>
      <c r="BE116" s="24"/>
      <c r="BF116" s="24">
        <v>21948</v>
      </c>
      <c r="BG116" s="24">
        <v>41295</v>
      </c>
      <c r="BH116" s="24"/>
      <c r="BI116" s="24"/>
      <c r="BJ116" s="24">
        <v>6244</v>
      </c>
      <c r="BK116" s="24">
        <v>12524</v>
      </c>
      <c r="BL116" s="37">
        <f t="shared" ref="BL116:BM122" si="16">SUM(B116+D116+F116+H116+J116+L116+N116+P116+R116+T116+V116+X116+Z116+AB116+AD116+AF116+AH116+AJ116+AL116+AN116+AP116+AR116+AT116+AV116+AX116+AZ116+BB116+BD116+BF116+BH116+BJ116)</f>
        <v>299768.77</v>
      </c>
      <c r="BM116" s="37">
        <f t="shared" si="16"/>
        <v>573915.35</v>
      </c>
    </row>
    <row r="117" spans="1:65" x14ac:dyDescent="0.25">
      <c r="A117" s="24" t="s">
        <v>286</v>
      </c>
      <c r="B117" s="24">
        <v>217</v>
      </c>
      <c r="C117" s="24">
        <v>314</v>
      </c>
      <c r="D117" s="24">
        <v>840</v>
      </c>
      <c r="E117" s="24">
        <v>1254</v>
      </c>
      <c r="F117" s="24">
        <v>0</v>
      </c>
      <c r="G117" s="24">
        <v>0</v>
      </c>
      <c r="H117" s="24">
        <v>3152</v>
      </c>
      <c r="I117" s="24">
        <v>6223</v>
      </c>
      <c r="J117" s="24">
        <v>5907</v>
      </c>
      <c r="K117" s="24">
        <v>9301</v>
      </c>
      <c r="L117" s="24">
        <v>1564</v>
      </c>
      <c r="M117" s="24">
        <v>138</v>
      </c>
      <c r="N117" s="24">
        <v>2003</v>
      </c>
      <c r="O117" s="24">
        <v>3618</v>
      </c>
      <c r="P117" s="24"/>
      <c r="Q117" s="24"/>
      <c r="R117" s="24">
        <v>159</v>
      </c>
      <c r="S117" s="24">
        <v>268.41000000000003</v>
      </c>
      <c r="T117" s="24">
        <v>565.32000000000005</v>
      </c>
      <c r="U117" s="24">
        <v>1181.08</v>
      </c>
      <c r="V117" s="24">
        <v>5985</v>
      </c>
      <c r="W117" s="24">
        <v>11220</v>
      </c>
      <c r="X117" s="24">
        <v>5713</v>
      </c>
      <c r="Y117" s="24">
        <v>12108</v>
      </c>
      <c r="Z117" s="24">
        <v>3048</v>
      </c>
      <c r="AA117" s="24">
        <v>6022</v>
      </c>
      <c r="AB117" s="24">
        <v>278</v>
      </c>
      <c r="AC117" s="24">
        <v>552</v>
      </c>
      <c r="AD117" s="24">
        <v>1046</v>
      </c>
      <c r="AE117" s="24">
        <v>2016</v>
      </c>
      <c r="AF117" s="47">
        <v>834</v>
      </c>
      <c r="AG117" s="24">
        <v>1694</v>
      </c>
      <c r="AH117" s="24">
        <v>670.15</v>
      </c>
      <c r="AI117" s="24">
        <v>863.8</v>
      </c>
      <c r="AJ117" s="24"/>
      <c r="AK117" s="24"/>
      <c r="AL117" s="24"/>
      <c r="AM117" s="24">
        <v>5</v>
      </c>
      <c r="AN117" s="24">
        <v>807</v>
      </c>
      <c r="AO117" s="24">
        <v>3036</v>
      </c>
      <c r="AP117" s="24">
        <v>131</v>
      </c>
      <c r="AQ117" s="24">
        <v>228</v>
      </c>
      <c r="AR117" s="24">
        <v>-241</v>
      </c>
      <c r="AS117" s="24">
        <v>1840</v>
      </c>
      <c r="AT117" s="24">
        <v>1310</v>
      </c>
      <c r="AU117" s="24">
        <v>2597</v>
      </c>
      <c r="AV117" s="24">
        <v>2035</v>
      </c>
      <c r="AW117" s="24">
        <v>4698</v>
      </c>
      <c r="AX117" s="24">
        <v>383</v>
      </c>
      <c r="AY117" s="24">
        <v>702</v>
      </c>
      <c r="AZ117" s="24">
        <v>1527</v>
      </c>
      <c r="BA117" s="24">
        <v>4830</v>
      </c>
      <c r="BB117" s="24">
        <v>6388</v>
      </c>
      <c r="BC117" s="24">
        <v>10553</v>
      </c>
      <c r="BD117" s="24"/>
      <c r="BE117" s="24"/>
      <c r="BF117" s="24">
        <v>5943</v>
      </c>
      <c r="BG117" s="24">
        <v>8365</v>
      </c>
      <c r="BH117" s="24"/>
      <c r="BI117" s="24"/>
      <c r="BJ117" s="24">
        <v>1502</v>
      </c>
      <c r="BK117" s="24">
        <v>2535</v>
      </c>
      <c r="BL117" s="37">
        <f t="shared" si="16"/>
        <v>51766.47</v>
      </c>
      <c r="BM117" s="37">
        <f t="shared" si="16"/>
        <v>96162.290000000008</v>
      </c>
    </row>
    <row r="118" spans="1:65" x14ac:dyDescent="0.25">
      <c r="A118" s="24" t="s">
        <v>287</v>
      </c>
      <c r="B118" s="24"/>
      <c r="C118" s="24"/>
      <c r="D118" s="24"/>
      <c r="E118" s="24"/>
      <c r="F118" s="24">
        <v>0</v>
      </c>
      <c r="G118" s="24">
        <v>0</v>
      </c>
      <c r="H118" s="24">
        <v>396</v>
      </c>
      <c r="I118" s="24">
        <v>723</v>
      </c>
      <c r="J118" s="24"/>
      <c r="K118" s="24"/>
      <c r="L118" s="24">
        <v>27</v>
      </c>
      <c r="M118" s="24">
        <v>65</v>
      </c>
      <c r="N118" s="24">
        <v>160</v>
      </c>
      <c r="O118" s="24">
        <v>292</v>
      </c>
      <c r="P118" s="24"/>
      <c r="Q118" s="24"/>
      <c r="R118" s="24"/>
      <c r="S118" s="24"/>
      <c r="T118" s="24">
        <v>99.11</v>
      </c>
      <c r="U118" s="24">
        <v>190.26</v>
      </c>
      <c r="V118" s="24">
        <v>484</v>
      </c>
      <c r="W118" s="24">
        <v>841</v>
      </c>
      <c r="X118" s="24">
        <v>1350</v>
      </c>
      <c r="Y118" s="24">
        <v>2578</v>
      </c>
      <c r="Z118" s="24">
        <v>266</v>
      </c>
      <c r="AA118" s="24">
        <v>524</v>
      </c>
      <c r="AB118" s="24"/>
      <c r="AC118" s="24"/>
      <c r="AD118" s="24">
        <v>105</v>
      </c>
      <c r="AE118" s="24">
        <v>192</v>
      </c>
      <c r="AF118" s="47">
        <v>29</v>
      </c>
      <c r="AG118" s="24">
        <v>69</v>
      </c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>
        <v>2183</v>
      </c>
      <c r="AS118" s="24">
        <v>2382</v>
      </c>
      <c r="AT118" s="24">
        <v>41</v>
      </c>
      <c r="AU118" s="24">
        <v>84</v>
      </c>
      <c r="AV118" s="24">
        <v>1</v>
      </c>
      <c r="AW118" s="24">
        <v>1</v>
      </c>
      <c r="AX118" s="24">
        <v>23</v>
      </c>
      <c r="AY118" s="24">
        <v>46</v>
      </c>
      <c r="AZ118" s="24"/>
      <c r="BA118" s="24"/>
      <c r="BB118" s="24">
        <v>2776</v>
      </c>
      <c r="BC118" s="24">
        <v>5533</v>
      </c>
      <c r="BD118" s="24"/>
      <c r="BE118" s="24"/>
      <c r="BF118" s="24">
        <v>874</v>
      </c>
      <c r="BG118" s="24">
        <v>1634</v>
      </c>
      <c r="BH118" s="24"/>
      <c r="BI118" s="24"/>
      <c r="BJ118" s="24"/>
      <c r="BK118" s="24"/>
      <c r="BL118" s="37">
        <f t="shared" si="16"/>
        <v>8814.11</v>
      </c>
      <c r="BM118" s="37">
        <f t="shared" si="16"/>
        <v>15154.26</v>
      </c>
    </row>
    <row r="119" spans="1:65" s="4" customFormat="1" x14ac:dyDescent="0.25">
      <c r="A119" s="26" t="s">
        <v>288</v>
      </c>
      <c r="B119" s="26">
        <v>997</v>
      </c>
      <c r="C119" s="26">
        <v>1874</v>
      </c>
      <c r="D119" s="26">
        <v>6905</v>
      </c>
      <c r="E119" s="26">
        <v>13204</v>
      </c>
      <c r="F119" s="26">
        <v>3994</v>
      </c>
      <c r="G119" s="26">
        <v>4051</v>
      </c>
      <c r="H119" s="26">
        <v>24251</v>
      </c>
      <c r="I119" s="26">
        <v>47500</v>
      </c>
      <c r="J119" s="26">
        <v>19216</v>
      </c>
      <c r="K119" s="26">
        <v>33833</v>
      </c>
      <c r="L119" s="26">
        <v>13109</v>
      </c>
      <c r="M119" s="26">
        <v>24649</v>
      </c>
      <c r="N119" s="26">
        <v>9040</v>
      </c>
      <c r="O119" s="26">
        <v>18233</v>
      </c>
      <c r="P119" s="26">
        <v>569.71</v>
      </c>
      <c r="Q119" s="26">
        <v>851.8</v>
      </c>
      <c r="R119" s="26">
        <v>1134.45</v>
      </c>
      <c r="S119" s="26">
        <v>1926.53</v>
      </c>
      <c r="T119" s="26">
        <v>6691.11</v>
      </c>
      <c r="U119" s="26">
        <v>13900.4</v>
      </c>
      <c r="V119" s="26">
        <v>36839</v>
      </c>
      <c r="W119" s="26">
        <v>68873</v>
      </c>
      <c r="X119" s="26">
        <v>38170</v>
      </c>
      <c r="Y119" s="26">
        <v>78996</v>
      </c>
      <c r="Z119" s="26">
        <v>20128</v>
      </c>
      <c r="AA119" s="26">
        <v>38208</v>
      </c>
      <c r="AB119" s="26">
        <v>2518</v>
      </c>
      <c r="AC119" s="26">
        <v>4168</v>
      </c>
      <c r="AD119" s="26">
        <v>5020</v>
      </c>
      <c r="AE119" s="26">
        <v>9703</v>
      </c>
      <c r="AF119" s="26">
        <v>4073</v>
      </c>
      <c r="AG119" s="26">
        <v>8152</v>
      </c>
      <c r="AH119" s="26">
        <v>3643.08</v>
      </c>
      <c r="AI119" s="26">
        <v>6185.17</v>
      </c>
      <c r="AJ119" s="26">
        <v>26832</v>
      </c>
      <c r="AK119" s="26">
        <v>48941</v>
      </c>
      <c r="AL119" s="26">
        <v>-15</v>
      </c>
      <c r="AM119" s="26">
        <v>58</v>
      </c>
      <c r="AN119" s="26">
        <v>10425</v>
      </c>
      <c r="AO119" s="26">
        <v>20635</v>
      </c>
      <c r="AP119" s="26">
        <v>1886</v>
      </c>
      <c r="AQ119" s="26">
        <v>3372</v>
      </c>
      <c r="AR119" s="26">
        <v>12563</v>
      </c>
      <c r="AS119" s="26">
        <v>28528</v>
      </c>
      <c r="AT119" s="26">
        <v>7386</v>
      </c>
      <c r="AU119" s="26">
        <v>14572</v>
      </c>
      <c r="AV119" s="26">
        <v>18761</v>
      </c>
      <c r="AW119" s="26">
        <v>37059</v>
      </c>
      <c r="AX119" s="26">
        <v>3230</v>
      </c>
      <c r="AY119" s="26">
        <v>5450</v>
      </c>
      <c r="AZ119" s="26">
        <v>42758</v>
      </c>
      <c r="BA119" s="26">
        <v>77485</v>
      </c>
      <c r="BB119" s="26">
        <v>30543</v>
      </c>
      <c r="BC119" s="26">
        <v>57410</v>
      </c>
      <c r="BD119" s="26">
        <v>69389</v>
      </c>
      <c r="BE119" s="26">
        <v>142986</v>
      </c>
      <c r="BF119" s="26">
        <v>28765</v>
      </c>
      <c r="BG119" s="26">
        <v>51294</v>
      </c>
      <c r="BH119" s="26">
        <v>31978</v>
      </c>
      <c r="BI119" s="26">
        <v>59938</v>
      </c>
      <c r="BJ119" s="26">
        <v>7746</v>
      </c>
      <c r="BK119" s="26">
        <v>15059</v>
      </c>
      <c r="BL119" s="39">
        <f t="shared" si="16"/>
        <v>488545.35</v>
      </c>
      <c r="BM119" s="39">
        <f t="shared" si="16"/>
        <v>937094.89999999991</v>
      </c>
    </row>
    <row r="120" spans="1:65" x14ac:dyDescent="0.25">
      <c r="A120" s="24" t="s">
        <v>289</v>
      </c>
      <c r="B120" s="24"/>
      <c r="C120" s="24"/>
      <c r="D120" s="24"/>
      <c r="E120" s="24"/>
      <c r="F120" s="24">
        <v>5</v>
      </c>
      <c r="G120" s="24">
        <v>5</v>
      </c>
      <c r="H120" s="24">
        <v>704</v>
      </c>
      <c r="I120" s="24">
        <v>802</v>
      </c>
      <c r="J120" s="24">
        <v>22</v>
      </c>
      <c r="K120" s="24">
        <v>55</v>
      </c>
      <c r="L120" s="24">
        <v>28</v>
      </c>
      <c r="M120" s="24">
        <v>56</v>
      </c>
      <c r="N120" s="24">
        <v>1285</v>
      </c>
      <c r="O120" s="24">
        <v>3780</v>
      </c>
      <c r="P120" s="24"/>
      <c r="Q120" s="24"/>
      <c r="R120" s="24">
        <v>45.48</v>
      </c>
      <c r="S120" s="24">
        <v>121.86</v>
      </c>
      <c r="T120" s="24">
        <v>145.15</v>
      </c>
      <c r="U120" s="24">
        <v>508.78</v>
      </c>
      <c r="V120" s="24">
        <v>461</v>
      </c>
      <c r="W120" s="24">
        <v>1575</v>
      </c>
      <c r="X120" s="24">
        <v>1396</v>
      </c>
      <c r="Y120" s="24">
        <v>3180</v>
      </c>
      <c r="Z120" s="24">
        <v>665</v>
      </c>
      <c r="AA120" s="24">
        <v>953</v>
      </c>
      <c r="AB120" s="24">
        <v>14</v>
      </c>
      <c r="AC120" s="24">
        <v>66</v>
      </c>
      <c r="AD120" s="24">
        <v>18</v>
      </c>
      <c r="AE120" s="24">
        <v>44</v>
      </c>
      <c r="AF120" s="47">
        <v>147</v>
      </c>
      <c r="AG120" s="24">
        <v>510</v>
      </c>
      <c r="AH120" s="24"/>
      <c r="AI120" s="24"/>
      <c r="AJ120" s="24">
        <v>1177</v>
      </c>
      <c r="AK120" s="24">
        <v>1957</v>
      </c>
      <c r="AL120" s="24">
        <v>6</v>
      </c>
      <c r="AM120" s="24">
        <v>12</v>
      </c>
      <c r="AN120" s="24"/>
      <c r="AO120" s="24"/>
      <c r="AP120" s="24">
        <v>36</v>
      </c>
      <c r="AQ120" s="24">
        <v>106</v>
      </c>
      <c r="AR120" s="24">
        <v>198</v>
      </c>
      <c r="AS120" s="24">
        <v>662</v>
      </c>
      <c r="AT120" s="24">
        <v>307</v>
      </c>
      <c r="AU120" s="24">
        <v>1154</v>
      </c>
      <c r="AV120" s="24">
        <v>183</v>
      </c>
      <c r="AW120" s="24">
        <v>354</v>
      </c>
      <c r="AX120" s="24">
        <v>3</v>
      </c>
      <c r="AY120" s="24">
        <v>61</v>
      </c>
      <c r="AZ120" s="24"/>
      <c r="BA120" s="24"/>
      <c r="BB120" s="24">
        <v>756</v>
      </c>
      <c r="BC120" s="24">
        <v>1572</v>
      </c>
      <c r="BD120" s="24">
        <v>5617</v>
      </c>
      <c r="BE120" s="24">
        <v>10126</v>
      </c>
      <c r="BF120" s="24">
        <v>2112</v>
      </c>
      <c r="BG120" s="24">
        <v>3629</v>
      </c>
      <c r="BH120" s="24">
        <v>-202</v>
      </c>
      <c r="BI120" s="24">
        <v>968</v>
      </c>
      <c r="BJ120" s="24">
        <v>239</v>
      </c>
      <c r="BK120" s="24">
        <v>285</v>
      </c>
      <c r="BL120" s="37">
        <f t="shared" si="16"/>
        <v>15367.630000000001</v>
      </c>
      <c r="BM120" s="37">
        <f t="shared" si="16"/>
        <v>32542.639999999999</v>
      </c>
    </row>
    <row r="121" spans="1:65" x14ac:dyDescent="0.25">
      <c r="A121" s="24" t="s">
        <v>290</v>
      </c>
      <c r="B121" s="24">
        <v>589</v>
      </c>
      <c r="C121" s="24">
        <v>1543</v>
      </c>
      <c r="D121" s="24">
        <v>5009</v>
      </c>
      <c r="E121" s="24">
        <v>9138</v>
      </c>
      <c r="F121" s="24">
        <v>8635</v>
      </c>
      <c r="G121" s="24">
        <v>8734</v>
      </c>
      <c r="H121" s="24">
        <v>-38766</v>
      </c>
      <c r="I121" s="24">
        <v>-72888</v>
      </c>
      <c r="J121" s="24">
        <v>7050</v>
      </c>
      <c r="K121" s="24">
        <v>13470</v>
      </c>
      <c r="L121" s="24">
        <v>9422</v>
      </c>
      <c r="M121" s="24">
        <v>17760</v>
      </c>
      <c r="N121" s="24">
        <v>-3778</v>
      </c>
      <c r="O121" s="24">
        <v>-13240</v>
      </c>
      <c r="P121" s="24">
        <v>749.91</v>
      </c>
      <c r="Q121" s="24">
        <v>1399.09</v>
      </c>
      <c r="R121" s="24">
        <v>916.33</v>
      </c>
      <c r="S121" s="24">
        <v>1657.16</v>
      </c>
      <c r="T121" s="24">
        <v>7001.89</v>
      </c>
      <c r="U121" s="24">
        <v>11913.61</v>
      </c>
      <c r="V121" s="24">
        <v>-44576</v>
      </c>
      <c r="W121" s="24">
        <v>-85630</v>
      </c>
      <c r="X121" s="24">
        <v>26742</v>
      </c>
      <c r="Y121" s="24">
        <v>61532</v>
      </c>
      <c r="Z121" s="24">
        <v>6531</v>
      </c>
      <c r="AA121" s="24">
        <v>15922</v>
      </c>
      <c r="AB121" s="24">
        <v>2310</v>
      </c>
      <c r="AC121" s="24">
        <v>3582</v>
      </c>
      <c r="AD121" s="24">
        <v>585</v>
      </c>
      <c r="AE121" s="24">
        <v>2044</v>
      </c>
      <c r="AF121" s="47">
        <v>-1691</v>
      </c>
      <c r="AG121" s="24">
        <v>-4215</v>
      </c>
      <c r="AH121" s="24">
        <v>153.28</v>
      </c>
      <c r="AI121" s="24">
        <v>292.17</v>
      </c>
      <c r="AJ121" s="24">
        <v>5518</v>
      </c>
      <c r="AK121" s="24">
        <v>9651</v>
      </c>
      <c r="AL121" s="24">
        <v>-135</v>
      </c>
      <c r="AM121" s="24">
        <v>-143</v>
      </c>
      <c r="AN121" s="24">
        <v>8564</v>
      </c>
      <c r="AO121" s="24">
        <v>15169</v>
      </c>
      <c r="AP121" s="24">
        <v>160</v>
      </c>
      <c r="AQ121" s="24">
        <v>346</v>
      </c>
      <c r="AR121" s="24">
        <v>21711</v>
      </c>
      <c r="AS121" s="24">
        <v>39675</v>
      </c>
      <c r="AT121" s="24">
        <v>4618</v>
      </c>
      <c r="AU121" s="24">
        <v>11302</v>
      </c>
      <c r="AV121" s="24">
        <v>13705</v>
      </c>
      <c r="AW121" s="24">
        <v>32056</v>
      </c>
      <c r="AX121" s="24">
        <v>317</v>
      </c>
      <c r="AY121" s="24">
        <v>579</v>
      </c>
      <c r="AZ121" s="24">
        <v>3117</v>
      </c>
      <c r="BA121" s="24">
        <v>5648</v>
      </c>
      <c r="BB121" s="24">
        <v>16362</v>
      </c>
      <c r="BC121" s="24">
        <v>37717</v>
      </c>
      <c r="BD121" s="24">
        <v>13756</v>
      </c>
      <c r="BE121" s="24">
        <v>39133</v>
      </c>
      <c r="BF121" s="24">
        <v>4462</v>
      </c>
      <c r="BG121" s="24">
        <v>9596</v>
      </c>
      <c r="BH121" s="24">
        <v>4580</v>
      </c>
      <c r="BI121" s="24">
        <v>10267</v>
      </c>
      <c r="BJ121" s="24">
        <v>6751</v>
      </c>
      <c r="BK121" s="24">
        <v>12288</v>
      </c>
      <c r="BL121" s="37">
        <f t="shared" si="16"/>
        <v>90369.41</v>
      </c>
      <c r="BM121" s="37">
        <f t="shared" si="16"/>
        <v>196298.03</v>
      </c>
    </row>
    <row r="122" spans="1:65" s="4" customFormat="1" x14ac:dyDescent="0.25">
      <c r="A122" s="26" t="s">
        <v>190</v>
      </c>
      <c r="B122" s="26">
        <v>408</v>
      </c>
      <c r="C122" s="26">
        <v>331</v>
      </c>
      <c r="D122" s="26">
        <v>1896</v>
      </c>
      <c r="E122" s="26">
        <v>4066</v>
      </c>
      <c r="F122" s="26">
        <v>-4636</v>
      </c>
      <c r="G122" s="26">
        <v>-4677</v>
      </c>
      <c r="H122" s="26">
        <v>-13811</v>
      </c>
      <c r="I122" s="26">
        <v>-24586</v>
      </c>
      <c r="J122" s="26">
        <v>12188</v>
      </c>
      <c r="K122" s="26">
        <v>20418</v>
      </c>
      <c r="L122" s="26">
        <v>3715</v>
      </c>
      <c r="M122" s="26">
        <v>6944</v>
      </c>
      <c r="N122" s="26">
        <v>6547</v>
      </c>
      <c r="O122" s="26">
        <v>8773</v>
      </c>
      <c r="P122" s="26">
        <v>-180.2</v>
      </c>
      <c r="Q122" s="26">
        <v>-547.29</v>
      </c>
      <c r="R122" s="26">
        <v>263.60000000000002</v>
      </c>
      <c r="S122" s="26">
        <v>391.23</v>
      </c>
      <c r="T122" s="26">
        <v>-165.63</v>
      </c>
      <c r="U122" s="26">
        <v>2495.5700000000002</v>
      </c>
      <c r="V122" s="26">
        <v>-7276</v>
      </c>
      <c r="W122" s="26">
        <v>-15182</v>
      </c>
      <c r="X122" s="26">
        <v>12824</v>
      </c>
      <c r="Y122" s="26">
        <v>20644</v>
      </c>
      <c r="Z122" s="26">
        <v>14262</v>
      </c>
      <c r="AA122" s="26">
        <v>23239</v>
      </c>
      <c r="AB122" s="26">
        <v>222</v>
      </c>
      <c r="AC122" s="26">
        <v>651</v>
      </c>
      <c r="AD122" s="26">
        <v>4454</v>
      </c>
      <c r="AE122" s="26">
        <v>7703</v>
      </c>
      <c r="AF122" s="26">
        <v>2529</v>
      </c>
      <c r="AG122" s="26">
        <v>4447</v>
      </c>
      <c r="AH122" s="26">
        <v>3489.8</v>
      </c>
      <c r="AI122" s="26">
        <v>5893</v>
      </c>
      <c r="AJ122" s="26">
        <v>22490</v>
      </c>
      <c r="AK122" s="26">
        <v>41247</v>
      </c>
      <c r="AL122" s="26">
        <v>-144</v>
      </c>
      <c r="AM122" s="26">
        <v>-73</v>
      </c>
      <c r="AN122" s="26">
        <v>1861</v>
      </c>
      <c r="AO122" s="26">
        <v>5466</v>
      </c>
      <c r="AP122" s="26">
        <v>1762</v>
      </c>
      <c r="AQ122" s="26">
        <v>3132</v>
      </c>
      <c r="AR122" s="26">
        <v>-8950</v>
      </c>
      <c r="AS122" s="26">
        <v>-10485</v>
      </c>
      <c r="AT122" s="26">
        <v>3076</v>
      </c>
      <c r="AU122" s="26">
        <v>4424</v>
      </c>
      <c r="AV122" s="26">
        <v>5239</v>
      </c>
      <c r="AW122" s="26">
        <v>5358</v>
      </c>
      <c r="AX122" s="26">
        <v>2916</v>
      </c>
      <c r="AY122" s="26">
        <v>4933</v>
      </c>
      <c r="AZ122" s="26">
        <v>39641</v>
      </c>
      <c r="BA122" s="26">
        <v>71837</v>
      </c>
      <c r="BB122" s="26">
        <v>14937</v>
      </c>
      <c r="BC122" s="26">
        <v>21265</v>
      </c>
      <c r="BD122" s="26">
        <v>61250</v>
      </c>
      <c r="BE122" s="26">
        <v>113980</v>
      </c>
      <c r="BF122" s="26">
        <v>26415</v>
      </c>
      <c r="BG122" s="26">
        <v>45327</v>
      </c>
      <c r="BH122" s="26">
        <v>27196</v>
      </c>
      <c r="BI122" s="26">
        <v>50639</v>
      </c>
      <c r="BJ122" s="26">
        <v>1234</v>
      </c>
      <c r="BK122" s="26">
        <v>3056</v>
      </c>
      <c r="BL122" s="39">
        <f t="shared" si="16"/>
        <v>235652.57</v>
      </c>
      <c r="BM122" s="39">
        <f t="shared" si="16"/>
        <v>421109.51</v>
      </c>
    </row>
  </sheetData>
  <mergeCells count="352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48:BM48"/>
    <mergeCell ref="AD26:AE26"/>
    <mergeCell ref="AF26:AG26"/>
    <mergeCell ref="AT48:AU48"/>
    <mergeCell ref="AV48:AW48"/>
    <mergeCell ref="AX48:AY48"/>
    <mergeCell ref="AZ48:BA48"/>
    <mergeCell ref="BB48:BC48"/>
    <mergeCell ref="B26:C26"/>
    <mergeCell ref="D26:E26"/>
    <mergeCell ref="F26:G26"/>
    <mergeCell ref="H26:I26"/>
    <mergeCell ref="J26:K26"/>
    <mergeCell ref="BL26:BM26"/>
    <mergeCell ref="B48:C48"/>
    <mergeCell ref="D48:E48"/>
    <mergeCell ref="F48:G48"/>
    <mergeCell ref="H48:I48"/>
    <mergeCell ref="AT26:AU26"/>
    <mergeCell ref="AV26:AW26"/>
    <mergeCell ref="AX26:AY26"/>
    <mergeCell ref="AZ26:BA26"/>
    <mergeCell ref="BB26:BC26"/>
    <mergeCell ref="BD26:BE26"/>
    <mergeCell ref="BJ26:BK26"/>
    <mergeCell ref="B59:C59"/>
    <mergeCell ref="D59:E59"/>
    <mergeCell ref="F59:G59"/>
    <mergeCell ref="H59:I59"/>
    <mergeCell ref="J59:K59"/>
    <mergeCell ref="BD48:BE48"/>
    <mergeCell ref="BF48:BG48"/>
    <mergeCell ref="BH48:BI48"/>
    <mergeCell ref="AF48:AG48"/>
    <mergeCell ref="AH48:AI48"/>
    <mergeCell ref="AJ48:AK48"/>
    <mergeCell ref="AL48:AM48"/>
    <mergeCell ref="AN48:AO48"/>
    <mergeCell ref="AP48:AQ48"/>
    <mergeCell ref="V48:W48"/>
    <mergeCell ref="X48:Y48"/>
    <mergeCell ref="Z48:AA48"/>
    <mergeCell ref="AB48:AC48"/>
    <mergeCell ref="AD48:AE48"/>
    <mergeCell ref="J48:K48"/>
    <mergeCell ref="BJ48:BK48"/>
    <mergeCell ref="AH26:AI26"/>
    <mergeCell ref="AJ26:AK26"/>
    <mergeCell ref="AT59:AU59"/>
    <mergeCell ref="V59:W59"/>
    <mergeCell ref="X59:Y59"/>
    <mergeCell ref="Z59:AA59"/>
    <mergeCell ref="AD59:AE59"/>
    <mergeCell ref="AF59:AG59"/>
    <mergeCell ref="L59:M59"/>
    <mergeCell ref="N59:O59"/>
    <mergeCell ref="P59:Q59"/>
    <mergeCell ref="R59:S59"/>
    <mergeCell ref="AR59:AS59"/>
    <mergeCell ref="L48:M48"/>
    <mergeCell ref="N48:O48"/>
    <mergeCell ref="AB59:AC59"/>
    <mergeCell ref="AR48:AS48"/>
    <mergeCell ref="B70:C70"/>
    <mergeCell ref="D70:E70"/>
    <mergeCell ref="F70:G70"/>
    <mergeCell ref="H70:I70"/>
    <mergeCell ref="P48:Q48"/>
    <mergeCell ref="R48:S48"/>
    <mergeCell ref="T48:U48"/>
    <mergeCell ref="AV70:AW70"/>
    <mergeCell ref="AX70:AY70"/>
    <mergeCell ref="AZ70:BA70"/>
    <mergeCell ref="BB70:BC70"/>
    <mergeCell ref="P70:Q70"/>
    <mergeCell ref="R70:S70"/>
    <mergeCell ref="T70:U70"/>
    <mergeCell ref="BJ59:BK59"/>
    <mergeCell ref="BL59:BM59"/>
    <mergeCell ref="BD59:BE59"/>
    <mergeCell ref="BJ70:BK70"/>
    <mergeCell ref="BL70:BM70"/>
    <mergeCell ref="T59:U59"/>
    <mergeCell ref="BF59:BG59"/>
    <mergeCell ref="BH59:BI59"/>
    <mergeCell ref="AV59:AW59"/>
    <mergeCell ref="AX59:AY59"/>
    <mergeCell ref="AZ59:BA59"/>
    <mergeCell ref="BB59:BC59"/>
    <mergeCell ref="AH59:AI59"/>
    <mergeCell ref="AJ59:AK59"/>
    <mergeCell ref="AL59:AM59"/>
    <mergeCell ref="AN59:AO59"/>
    <mergeCell ref="AP59:AQ59"/>
    <mergeCell ref="D81:E81"/>
    <mergeCell ref="F81:G81"/>
    <mergeCell ref="H81:I81"/>
    <mergeCell ref="J81:K81"/>
    <mergeCell ref="BD70:BE70"/>
    <mergeCell ref="BF70:BG70"/>
    <mergeCell ref="BH70:BI70"/>
    <mergeCell ref="AF70:AG70"/>
    <mergeCell ref="AH70:AI70"/>
    <mergeCell ref="AJ70:AK70"/>
    <mergeCell ref="AL70:AM70"/>
    <mergeCell ref="AN70:AO70"/>
    <mergeCell ref="AP70:AQ70"/>
    <mergeCell ref="V70:W70"/>
    <mergeCell ref="X70:Y70"/>
    <mergeCell ref="Z70:AA70"/>
    <mergeCell ref="AB70:AC70"/>
    <mergeCell ref="AD70:AE70"/>
    <mergeCell ref="J70:K70"/>
    <mergeCell ref="L70:M70"/>
    <mergeCell ref="N70:O70"/>
    <mergeCell ref="AB81:AC81"/>
    <mergeCell ref="AR70:AS70"/>
    <mergeCell ref="AT70:AU70"/>
    <mergeCell ref="B92:C92"/>
    <mergeCell ref="D92:E92"/>
    <mergeCell ref="F92:G92"/>
    <mergeCell ref="H92:I92"/>
    <mergeCell ref="AT81:AU81"/>
    <mergeCell ref="AV81:AW81"/>
    <mergeCell ref="AX81:AY81"/>
    <mergeCell ref="AZ81:BA81"/>
    <mergeCell ref="AH81:AI81"/>
    <mergeCell ref="AJ81:AK81"/>
    <mergeCell ref="AL81:AM81"/>
    <mergeCell ref="AN81:AO81"/>
    <mergeCell ref="AP81:AQ81"/>
    <mergeCell ref="AR81:AS81"/>
    <mergeCell ref="V81:W81"/>
    <mergeCell ref="X81:Y81"/>
    <mergeCell ref="Z81:AA81"/>
    <mergeCell ref="AD81:AE81"/>
    <mergeCell ref="AF81:AG81"/>
    <mergeCell ref="L81:M81"/>
    <mergeCell ref="N81:O81"/>
    <mergeCell ref="P81:Q81"/>
    <mergeCell ref="R81:S81"/>
    <mergeCell ref="B81:C81"/>
    <mergeCell ref="AZ92:BA92"/>
    <mergeCell ref="BB92:BC92"/>
    <mergeCell ref="P92:Q92"/>
    <mergeCell ref="R92:S92"/>
    <mergeCell ref="T92:U92"/>
    <mergeCell ref="BJ81:BK81"/>
    <mergeCell ref="BL81:BM81"/>
    <mergeCell ref="BB81:BC81"/>
    <mergeCell ref="BD81:BE81"/>
    <mergeCell ref="BJ92:BK92"/>
    <mergeCell ref="BL92:BM92"/>
    <mergeCell ref="T81:U81"/>
    <mergeCell ref="BF81:BG81"/>
    <mergeCell ref="BH81:BI81"/>
    <mergeCell ref="F103:G103"/>
    <mergeCell ref="H103:I103"/>
    <mergeCell ref="J103:K103"/>
    <mergeCell ref="BD92:BE92"/>
    <mergeCell ref="BF92:BG92"/>
    <mergeCell ref="BH92:BI92"/>
    <mergeCell ref="AF92:AG92"/>
    <mergeCell ref="AH92:AI92"/>
    <mergeCell ref="AJ92:AK92"/>
    <mergeCell ref="AL92:AM92"/>
    <mergeCell ref="AN92:AO92"/>
    <mergeCell ref="AP92:AQ92"/>
    <mergeCell ref="V92:W92"/>
    <mergeCell ref="X92:Y92"/>
    <mergeCell ref="Z92:AA92"/>
    <mergeCell ref="AB92:AC92"/>
    <mergeCell ref="AD92:AE92"/>
    <mergeCell ref="J92:K92"/>
    <mergeCell ref="L92:M92"/>
    <mergeCell ref="N92:O92"/>
    <mergeCell ref="AR92:AS92"/>
    <mergeCell ref="AT92:AU92"/>
    <mergeCell ref="AV92:AW92"/>
    <mergeCell ref="AX92:AY92"/>
    <mergeCell ref="BL103:BM103"/>
    <mergeCell ref="B114:C114"/>
    <mergeCell ref="D114:E114"/>
    <mergeCell ref="F114:G114"/>
    <mergeCell ref="H114:I114"/>
    <mergeCell ref="AT103:AU103"/>
    <mergeCell ref="AV103:AW103"/>
    <mergeCell ref="AX103:AY103"/>
    <mergeCell ref="AZ103:BA103"/>
    <mergeCell ref="BB103:BC103"/>
    <mergeCell ref="BD103:BE103"/>
    <mergeCell ref="AH103:AI103"/>
    <mergeCell ref="AJ103:AK103"/>
    <mergeCell ref="AL103:AM103"/>
    <mergeCell ref="AN103:AO103"/>
    <mergeCell ref="AP103:AQ103"/>
    <mergeCell ref="AR103:AS103"/>
    <mergeCell ref="V103:W103"/>
    <mergeCell ref="X103:Y103"/>
    <mergeCell ref="Z103:AA103"/>
    <mergeCell ref="AB103:AC103"/>
    <mergeCell ref="AD103:AE103"/>
    <mergeCell ref="B103:C103"/>
    <mergeCell ref="D103:E103"/>
    <mergeCell ref="J114:K114"/>
    <mergeCell ref="L114:M114"/>
    <mergeCell ref="N114:O114"/>
    <mergeCell ref="P114:Q114"/>
    <mergeCell ref="R114:S114"/>
    <mergeCell ref="T114:U114"/>
    <mergeCell ref="BF103:BG103"/>
    <mergeCell ref="BH103:BI103"/>
    <mergeCell ref="BJ103:BK103"/>
    <mergeCell ref="AF103:AG103"/>
    <mergeCell ref="L103:M103"/>
    <mergeCell ref="N103:O103"/>
    <mergeCell ref="P103:Q103"/>
    <mergeCell ref="R103:S103"/>
    <mergeCell ref="T103:U103"/>
    <mergeCell ref="AF114:AG114"/>
    <mergeCell ref="AH114:AI114"/>
    <mergeCell ref="AJ114:AK114"/>
    <mergeCell ref="AL114:AM114"/>
    <mergeCell ref="AN114:AO114"/>
    <mergeCell ref="AP114:AQ114"/>
    <mergeCell ref="V114:W114"/>
    <mergeCell ref="BL114:BM114"/>
    <mergeCell ref="AR114:AS114"/>
    <mergeCell ref="AT114:AU114"/>
    <mergeCell ref="AV114:AW114"/>
    <mergeCell ref="AX114:AY114"/>
    <mergeCell ref="AZ114:BA114"/>
    <mergeCell ref="BB114:BC114"/>
    <mergeCell ref="X114:Y114"/>
    <mergeCell ref="Z114:AA114"/>
    <mergeCell ref="AB114:AC114"/>
    <mergeCell ref="AD114:AE114"/>
    <mergeCell ref="BD114:BE114"/>
    <mergeCell ref="BF114:BG114"/>
    <mergeCell ref="BH114:BI114"/>
    <mergeCell ref="BJ114:BK114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BD37:BE37"/>
    <mergeCell ref="BF37:BG37"/>
    <mergeCell ref="BH37:BI37"/>
    <mergeCell ref="BJ37:BK37"/>
    <mergeCell ref="BL37:BM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9" sqref="A9"/>
    </sheetView>
  </sheetViews>
  <sheetFormatPr defaultRowHeight="15" x14ac:dyDescent="0.25"/>
  <cols>
    <col min="1" max="1" width="45.7109375" style="3" customWidth="1"/>
    <col min="2" max="31" width="16" style="3" customWidth="1"/>
    <col min="32" max="32" width="16" style="4" customWidth="1"/>
    <col min="33" max="65" width="16" style="3" customWidth="1"/>
    <col min="66" max="16384" width="9.140625" style="3"/>
  </cols>
  <sheetData>
    <row r="1" spans="1:65" ht="18.75" x14ac:dyDescent="0.3">
      <c r="A1" s="1" t="s">
        <v>169</v>
      </c>
    </row>
    <row r="2" spans="1:65" x14ac:dyDescent="0.25">
      <c r="A2" s="2" t="s">
        <v>98</v>
      </c>
    </row>
    <row r="3" spans="1:65" x14ac:dyDescent="0.25">
      <c r="A3" s="42" t="s">
        <v>0</v>
      </c>
      <c r="B3" s="94" t="s">
        <v>1</v>
      </c>
      <c r="C3" s="95"/>
      <c r="D3" s="94" t="s">
        <v>232</v>
      </c>
      <c r="E3" s="95"/>
      <c r="F3" s="94" t="s">
        <v>2</v>
      </c>
      <c r="G3" s="95"/>
      <c r="H3" s="94" t="s">
        <v>3</v>
      </c>
      <c r="I3" s="95"/>
      <c r="J3" s="94" t="s">
        <v>241</v>
      </c>
      <c r="K3" s="95"/>
      <c r="L3" s="94" t="s">
        <v>233</v>
      </c>
      <c r="M3" s="95"/>
      <c r="N3" s="94" t="s">
        <v>246</v>
      </c>
      <c r="O3" s="95"/>
      <c r="P3" s="94" t="s">
        <v>5</v>
      </c>
      <c r="Q3" s="95"/>
      <c r="R3" s="94" t="s">
        <v>4</v>
      </c>
      <c r="S3" s="95"/>
      <c r="T3" s="94" t="s">
        <v>6</v>
      </c>
      <c r="U3" s="95"/>
      <c r="V3" s="94" t="s">
        <v>7</v>
      </c>
      <c r="W3" s="95"/>
      <c r="X3" s="94" t="s">
        <v>8</v>
      </c>
      <c r="Y3" s="95"/>
      <c r="Z3" s="94" t="s">
        <v>9</v>
      </c>
      <c r="AA3" s="95"/>
      <c r="AB3" s="94" t="s">
        <v>240</v>
      </c>
      <c r="AC3" s="95"/>
      <c r="AD3" s="94" t="s">
        <v>10</v>
      </c>
      <c r="AE3" s="95"/>
      <c r="AF3" s="94" t="s">
        <v>11</v>
      </c>
      <c r="AG3" s="95"/>
      <c r="AH3" s="94" t="s">
        <v>234</v>
      </c>
      <c r="AI3" s="95"/>
      <c r="AJ3" s="94" t="s">
        <v>12</v>
      </c>
      <c r="AK3" s="95"/>
      <c r="AL3" s="94" t="s">
        <v>235</v>
      </c>
      <c r="AM3" s="95"/>
      <c r="AN3" s="94" t="s">
        <v>300</v>
      </c>
      <c r="AO3" s="95"/>
      <c r="AP3" s="94" t="s">
        <v>236</v>
      </c>
      <c r="AQ3" s="95"/>
      <c r="AR3" s="94" t="s">
        <v>239</v>
      </c>
      <c r="AS3" s="95"/>
      <c r="AT3" s="94" t="s">
        <v>13</v>
      </c>
      <c r="AU3" s="95"/>
      <c r="AV3" s="94" t="s">
        <v>14</v>
      </c>
      <c r="AW3" s="95"/>
      <c r="AX3" s="94" t="s">
        <v>15</v>
      </c>
      <c r="AY3" s="95"/>
      <c r="AZ3" s="94" t="s">
        <v>16</v>
      </c>
      <c r="BA3" s="95"/>
      <c r="BB3" s="94" t="s">
        <v>17</v>
      </c>
      <c r="BC3" s="95"/>
      <c r="BD3" s="94" t="s">
        <v>237</v>
      </c>
      <c r="BE3" s="95"/>
      <c r="BF3" s="94" t="s">
        <v>238</v>
      </c>
      <c r="BG3" s="95"/>
      <c r="BH3" s="94" t="s">
        <v>18</v>
      </c>
      <c r="BI3" s="95"/>
      <c r="BJ3" s="94" t="s">
        <v>19</v>
      </c>
      <c r="BK3" s="95"/>
      <c r="BL3" s="96" t="s">
        <v>20</v>
      </c>
      <c r="BM3" s="97"/>
    </row>
    <row r="4" spans="1:65" ht="30" x14ac:dyDescent="0.25">
      <c r="A4" s="42"/>
      <c r="B4" s="34" t="s">
        <v>298</v>
      </c>
      <c r="C4" s="35" t="s">
        <v>299</v>
      </c>
      <c r="D4" s="34" t="s">
        <v>298</v>
      </c>
      <c r="E4" s="35" t="s">
        <v>299</v>
      </c>
      <c r="F4" s="34" t="s">
        <v>298</v>
      </c>
      <c r="G4" s="35" t="s">
        <v>299</v>
      </c>
      <c r="H4" s="34" t="s">
        <v>298</v>
      </c>
      <c r="I4" s="35" t="s">
        <v>299</v>
      </c>
      <c r="J4" s="34" t="s">
        <v>298</v>
      </c>
      <c r="K4" s="35" t="s">
        <v>299</v>
      </c>
      <c r="L4" s="34" t="s">
        <v>298</v>
      </c>
      <c r="M4" s="35" t="s">
        <v>299</v>
      </c>
      <c r="N4" s="34" t="s">
        <v>298</v>
      </c>
      <c r="O4" s="35" t="s">
        <v>299</v>
      </c>
      <c r="P4" s="34" t="s">
        <v>298</v>
      </c>
      <c r="Q4" s="35" t="s">
        <v>299</v>
      </c>
      <c r="R4" s="34" t="s">
        <v>298</v>
      </c>
      <c r="S4" s="35" t="s">
        <v>299</v>
      </c>
      <c r="T4" s="34" t="s">
        <v>298</v>
      </c>
      <c r="U4" s="35" t="s">
        <v>299</v>
      </c>
      <c r="V4" s="34" t="s">
        <v>298</v>
      </c>
      <c r="W4" s="35" t="s">
        <v>299</v>
      </c>
      <c r="X4" s="34" t="s">
        <v>298</v>
      </c>
      <c r="Y4" s="35" t="s">
        <v>299</v>
      </c>
      <c r="Z4" s="34" t="s">
        <v>298</v>
      </c>
      <c r="AA4" s="35" t="s">
        <v>299</v>
      </c>
      <c r="AB4" s="34" t="s">
        <v>298</v>
      </c>
      <c r="AC4" s="35" t="s">
        <v>299</v>
      </c>
      <c r="AD4" s="34" t="s">
        <v>298</v>
      </c>
      <c r="AE4" s="35" t="s">
        <v>299</v>
      </c>
      <c r="AF4" s="34" t="s">
        <v>298</v>
      </c>
      <c r="AG4" s="35" t="s">
        <v>299</v>
      </c>
      <c r="AH4" s="34" t="s">
        <v>298</v>
      </c>
      <c r="AI4" s="35" t="s">
        <v>299</v>
      </c>
      <c r="AJ4" s="34" t="s">
        <v>298</v>
      </c>
      <c r="AK4" s="35" t="s">
        <v>299</v>
      </c>
      <c r="AL4" s="34" t="s">
        <v>298</v>
      </c>
      <c r="AM4" s="35" t="s">
        <v>299</v>
      </c>
      <c r="AN4" s="34" t="s">
        <v>298</v>
      </c>
      <c r="AO4" s="35" t="s">
        <v>299</v>
      </c>
      <c r="AP4" s="34" t="s">
        <v>298</v>
      </c>
      <c r="AQ4" s="35" t="s">
        <v>299</v>
      </c>
      <c r="AR4" s="34" t="s">
        <v>298</v>
      </c>
      <c r="AS4" s="35" t="s">
        <v>299</v>
      </c>
      <c r="AT4" s="34" t="s">
        <v>298</v>
      </c>
      <c r="AU4" s="35" t="s">
        <v>299</v>
      </c>
      <c r="AV4" s="34" t="s">
        <v>298</v>
      </c>
      <c r="AW4" s="35" t="s">
        <v>299</v>
      </c>
      <c r="AX4" s="34" t="s">
        <v>298</v>
      </c>
      <c r="AY4" s="35" t="s">
        <v>299</v>
      </c>
      <c r="AZ4" s="34" t="s">
        <v>298</v>
      </c>
      <c r="BA4" s="35" t="s">
        <v>299</v>
      </c>
      <c r="BB4" s="34" t="s">
        <v>298</v>
      </c>
      <c r="BC4" s="35" t="s">
        <v>299</v>
      </c>
      <c r="BD4" s="34" t="s">
        <v>298</v>
      </c>
      <c r="BE4" s="35" t="s">
        <v>299</v>
      </c>
      <c r="BF4" s="34" t="s">
        <v>298</v>
      </c>
      <c r="BG4" s="35" t="s">
        <v>299</v>
      </c>
      <c r="BH4" s="34" t="s">
        <v>298</v>
      </c>
      <c r="BI4" s="35" t="s">
        <v>299</v>
      </c>
      <c r="BJ4" s="34" t="s">
        <v>298</v>
      </c>
      <c r="BK4" s="35" t="s">
        <v>299</v>
      </c>
      <c r="BL4" s="34" t="s">
        <v>298</v>
      </c>
      <c r="BM4" s="35" t="s">
        <v>299</v>
      </c>
    </row>
    <row r="5" spans="1:65" x14ac:dyDescent="0.25">
      <c r="A5" s="36" t="s">
        <v>170</v>
      </c>
      <c r="B5" s="24">
        <v>2612</v>
      </c>
      <c r="C5" s="24">
        <v>5266</v>
      </c>
      <c r="D5" s="24">
        <v>13006</v>
      </c>
      <c r="E5" s="24">
        <v>23393</v>
      </c>
      <c r="F5" s="24">
        <v>2218</v>
      </c>
      <c r="G5" s="24">
        <v>5291</v>
      </c>
      <c r="H5" s="24">
        <v>20604</v>
      </c>
      <c r="I5" s="24">
        <v>39970</v>
      </c>
      <c r="J5" s="24">
        <v>17673</v>
      </c>
      <c r="K5" s="24">
        <v>35616</v>
      </c>
      <c r="L5" s="24">
        <v>10991</v>
      </c>
      <c r="M5" s="24">
        <v>21015</v>
      </c>
      <c r="N5" s="24">
        <v>5774</v>
      </c>
      <c r="O5" s="24">
        <v>11574</v>
      </c>
      <c r="P5" s="24">
        <v>4683.43</v>
      </c>
      <c r="Q5" s="24">
        <v>8946.25</v>
      </c>
      <c r="R5" s="24">
        <v>1574.06</v>
      </c>
      <c r="S5" s="24">
        <v>3183.29</v>
      </c>
      <c r="T5" s="24">
        <v>8155.51</v>
      </c>
      <c r="U5" s="24">
        <v>17914.080000000002</v>
      </c>
      <c r="V5" s="24">
        <v>20756</v>
      </c>
      <c r="W5" s="24">
        <v>40780</v>
      </c>
      <c r="X5" s="24">
        <v>27802</v>
      </c>
      <c r="Y5" s="24">
        <v>55704</v>
      </c>
      <c r="Z5" s="24">
        <v>11588</v>
      </c>
      <c r="AA5" s="24">
        <v>22355</v>
      </c>
      <c r="AB5" s="24">
        <v>3243</v>
      </c>
      <c r="AC5" s="24">
        <v>6641</v>
      </c>
      <c r="AD5" s="24">
        <v>3802</v>
      </c>
      <c r="AE5" s="24">
        <v>7812</v>
      </c>
      <c r="AF5" s="47">
        <v>4643</v>
      </c>
      <c r="AG5" s="24">
        <v>8939</v>
      </c>
      <c r="AH5" s="24">
        <v>5107.1499999999996</v>
      </c>
      <c r="AI5" s="24">
        <v>10132.76</v>
      </c>
      <c r="AJ5" s="24">
        <v>227903.13</v>
      </c>
      <c r="AK5" s="24">
        <v>269775.48</v>
      </c>
      <c r="AL5" s="24">
        <v>358</v>
      </c>
      <c r="AM5" s="24">
        <v>1106</v>
      </c>
      <c r="AN5" s="24">
        <v>16849</v>
      </c>
      <c r="AO5" s="24">
        <v>29515</v>
      </c>
      <c r="AP5" s="24">
        <v>1755</v>
      </c>
      <c r="AQ5" s="24">
        <v>3214</v>
      </c>
      <c r="AR5" s="24">
        <v>13650</v>
      </c>
      <c r="AS5" s="24">
        <v>25702</v>
      </c>
      <c r="AT5" s="24">
        <v>5345</v>
      </c>
      <c r="AU5" s="24">
        <v>10804</v>
      </c>
      <c r="AV5" s="24">
        <v>11770</v>
      </c>
      <c r="AW5" s="24">
        <v>24334</v>
      </c>
      <c r="AX5" s="24">
        <v>3492</v>
      </c>
      <c r="AY5" s="24">
        <v>6623</v>
      </c>
      <c r="AZ5" s="24">
        <v>35896</v>
      </c>
      <c r="BA5" s="24">
        <v>63638</v>
      </c>
      <c r="BB5" s="24">
        <v>16934</v>
      </c>
      <c r="BC5" s="24">
        <v>34091</v>
      </c>
      <c r="BD5" s="24">
        <v>65171</v>
      </c>
      <c r="BE5" s="24">
        <v>138535</v>
      </c>
      <c r="BF5" s="24">
        <v>316488</v>
      </c>
      <c r="BG5" s="24">
        <v>309021</v>
      </c>
      <c r="BH5" s="24">
        <v>66168</v>
      </c>
      <c r="BI5" s="24">
        <v>136044</v>
      </c>
      <c r="BJ5" s="24">
        <v>3427</v>
      </c>
      <c r="BK5" s="24">
        <v>6765</v>
      </c>
      <c r="BL5" s="37">
        <f>SUM(B5+D5+F5+H5+J5+L5+N5+P5+R5+T5+V5+X5+Z5+AB5+AD5+AF5+AH5+AJ5+AL5+AN5+AP5+AR5+AT5+AV5+AX5+AZ5+BB5+BD5+BF5+BH5+BJ5)</f>
        <v>949438.28</v>
      </c>
      <c r="BM5" s="37">
        <f>SUM(C5+E5+G5+I5+K5+M5+O5+Q5+S5+U5+W5+Y5+AA5+AC5+AE5+AG5+AI5+AK5+AM5+AO5+AQ5+AS5+AU5+AW5+AY5+BA5+BC5+BE5+BG5+BI5+BK5)</f>
        <v>1383699.8599999999</v>
      </c>
    </row>
    <row r="6" spans="1:65" x14ac:dyDescent="0.25">
      <c r="A6" s="36" t="s">
        <v>171</v>
      </c>
      <c r="B6" s="24">
        <v>52</v>
      </c>
      <c r="C6" s="24">
        <v>101</v>
      </c>
      <c r="D6" s="24">
        <v>434</v>
      </c>
      <c r="E6" s="24">
        <v>843</v>
      </c>
      <c r="F6" s="24">
        <v>68</v>
      </c>
      <c r="G6" s="24">
        <v>200</v>
      </c>
      <c r="H6" s="24">
        <v>1140</v>
      </c>
      <c r="I6" s="24">
        <v>2155</v>
      </c>
      <c r="J6" s="24">
        <v>149</v>
      </c>
      <c r="K6" s="24">
        <v>884</v>
      </c>
      <c r="L6" s="24">
        <v>677</v>
      </c>
      <c r="M6" s="24">
        <v>1236</v>
      </c>
      <c r="N6" s="24">
        <v>321</v>
      </c>
      <c r="O6" s="24">
        <v>643</v>
      </c>
      <c r="P6" s="24">
        <v>314.05</v>
      </c>
      <c r="Q6" s="24">
        <v>520.88</v>
      </c>
      <c r="R6" s="24">
        <v>55.87</v>
      </c>
      <c r="S6" s="24">
        <v>108.72</v>
      </c>
      <c r="T6" s="24">
        <v>264.27999999999997</v>
      </c>
      <c r="U6" s="24">
        <v>533.6</v>
      </c>
      <c r="V6" s="24">
        <v>1250</v>
      </c>
      <c r="W6" s="24">
        <v>2156</v>
      </c>
      <c r="X6" s="24">
        <v>1487</v>
      </c>
      <c r="Y6" s="24">
        <v>3251</v>
      </c>
      <c r="Z6" s="24">
        <v>541</v>
      </c>
      <c r="AA6" s="24">
        <v>850</v>
      </c>
      <c r="AB6" s="24">
        <v>162</v>
      </c>
      <c r="AC6" s="24">
        <v>301</v>
      </c>
      <c r="AD6" s="24">
        <v>266</v>
      </c>
      <c r="AE6" s="24">
        <v>536</v>
      </c>
      <c r="AF6" s="47">
        <v>215</v>
      </c>
      <c r="AG6" s="24">
        <v>368</v>
      </c>
      <c r="AH6" s="24">
        <v>145.86000000000001</v>
      </c>
      <c r="AI6" s="24">
        <v>244.49</v>
      </c>
      <c r="AJ6" s="24">
        <v>639.25</v>
      </c>
      <c r="AK6" s="24">
        <v>1207.79</v>
      </c>
      <c r="AL6" s="24">
        <v>4</v>
      </c>
      <c r="AM6" s="24">
        <v>8</v>
      </c>
      <c r="AN6" s="24">
        <v>569</v>
      </c>
      <c r="AO6" s="24">
        <v>1021</v>
      </c>
      <c r="AP6" s="24">
        <v>40</v>
      </c>
      <c r="AQ6" s="24">
        <v>71</v>
      </c>
      <c r="AR6" s="24">
        <v>627</v>
      </c>
      <c r="AS6" s="24">
        <v>1623</v>
      </c>
      <c r="AT6" s="24">
        <v>189</v>
      </c>
      <c r="AU6" s="24">
        <v>347</v>
      </c>
      <c r="AV6" s="24">
        <v>1044</v>
      </c>
      <c r="AW6" s="24">
        <v>1808</v>
      </c>
      <c r="AX6" s="24">
        <v>370</v>
      </c>
      <c r="AY6" s="24">
        <v>683</v>
      </c>
      <c r="AZ6" s="24">
        <v>814</v>
      </c>
      <c r="BA6" s="24">
        <v>1673</v>
      </c>
      <c r="BB6" s="24">
        <v>644</v>
      </c>
      <c r="BC6" s="24">
        <v>1194</v>
      </c>
      <c r="BD6" s="24">
        <v>1249</v>
      </c>
      <c r="BE6" s="24">
        <v>2149</v>
      </c>
      <c r="BF6" s="24">
        <v>511</v>
      </c>
      <c r="BG6" s="24">
        <v>967</v>
      </c>
      <c r="BH6" s="24">
        <v>705</v>
      </c>
      <c r="BI6" s="24">
        <v>1257</v>
      </c>
      <c r="BJ6" s="24">
        <v>64</v>
      </c>
      <c r="BK6" s="24">
        <v>251</v>
      </c>
      <c r="BL6" s="37">
        <f t="shared" ref="BL6:BM17" si="0">SUM(B6+D6+F6+H6+J6+L6+N6+P6+R6+T6+V6+X6+Z6+AB6+AD6+AF6+AH6+AJ6+AL6+AN6+AP6+AR6+AT6+AV6+AX6+AZ6+BB6+BD6+BF6+BH6+BJ6)</f>
        <v>15011.31</v>
      </c>
      <c r="BM6" s="37">
        <f t="shared" si="0"/>
        <v>29191.48</v>
      </c>
    </row>
    <row r="7" spans="1:65" x14ac:dyDescent="0.25">
      <c r="A7" s="36" t="s">
        <v>172</v>
      </c>
      <c r="B7" s="24">
        <v>1</v>
      </c>
      <c r="C7" s="24">
        <v>5</v>
      </c>
      <c r="D7" s="24">
        <v>69</v>
      </c>
      <c r="E7" s="24">
        <v>1053</v>
      </c>
      <c r="F7" s="24">
        <v>8</v>
      </c>
      <c r="G7" s="24">
        <v>13</v>
      </c>
      <c r="H7" s="24">
        <v>266</v>
      </c>
      <c r="I7" s="24">
        <v>559</v>
      </c>
      <c r="J7" s="24">
        <v>493</v>
      </c>
      <c r="K7" s="24">
        <v>905</v>
      </c>
      <c r="L7" s="24">
        <v>251</v>
      </c>
      <c r="M7" s="24">
        <v>272</v>
      </c>
      <c r="N7" s="24">
        <v>49</v>
      </c>
      <c r="O7" s="24">
        <v>86</v>
      </c>
      <c r="P7" s="24">
        <v>149.77000000000001</v>
      </c>
      <c r="Q7" s="24">
        <v>152.83000000000001</v>
      </c>
      <c r="R7" s="24">
        <v>10.83</v>
      </c>
      <c r="S7" s="24">
        <v>53.23</v>
      </c>
      <c r="T7" s="24">
        <v>69.75</v>
      </c>
      <c r="U7" s="24">
        <v>107.53</v>
      </c>
      <c r="V7" s="24">
        <v>231</v>
      </c>
      <c r="W7" s="24">
        <v>690</v>
      </c>
      <c r="X7" s="24">
        <v>28</v>
      </c>
      <c r="Y7" s="24">
        <v>71</v>
      </c>
      <c r="Z7" s="24">
        <v>74</v>
      </c>
      <c r="AA7" s="24">
        <v>85</v>
      </c>
      <c r="AB7" s="24">
        <v>-20</v>
      </c>
      <c r="AC7" s="24">
        <v>-11</v>
      </c>
      <c r="AD7" s="24">
        <v>232</v>
      </c>
      <c r="AE7" s="24">
        <v>297</v>
      </c>
      <c r="AF7" s="47">
        <v>18</v>
      </c>
      <c r="AG7" s="24">
        <v>20</v>
      </c>
      <c r="AH7" s="24">
        <v>212.87</v>
      </c>
      <c r="AI7" s="24">
        <v>475.24</v>
      </c>
      <c r="AJ7" s="24">
        <v>28.22</v>
      </c>
      <c r="AK7" s="24">
        <v>65.739999999999995</v>
      </c>
      <c r="AL7" s="24">
        <v>1</v>
      </c>
      <c r="AM7" s="24">
        <v>-188</v>
      </c>
      <c r="AN7" s="24">
        <v>23</v>
      </c>
      <c r="AO7" s="24">
        <v>43</v>
      </c>
      <c r="AP7" s="24">
        <v>180</v>
      </c>
      <c r="AQ7" s="24">
        <v>375</v>
      </c>
      <c r="AR7" s="24">
        <v>550</v>
      </c>
      <c r="AS7" s="24">
        <v>1132</v>
      </c>
      <c r="AT7" s="24">
        <v>6</v>
      </c>
      <c r="AU7" s="24">
        <v>21</v>
      </c>
      <c r="AV7" s="24">
        <v>142</v>
      </c>
      <c r="AW7" s="24">
        <v>176</v>
      </c>
      <c r="AX7" s="24">
        <v>18</v>
      </c>
      <c r="AY7" s="24">
        <v>37</v>
      </c>
      <c r="AZ7" s="24">
        <v>168</v>
      </c>
      <c r="BA7" s="24">
        <v>299</v>
      </c>
      <c r="BB7" s="24">
        <v>557</v>
      </c>
      <c r="BC7" s="24">
        <v>1170</v>
      </c>
      <c r="BD7" s="24">
        <v>604</v>
      </c>
      <c r="BE7" s="24">
        <v>661</v>
      </c>
      <c r="BF7" s="24">
        <v>70</v>
      </c>
      <c r="BG7" s="24">
        <v>110</v>
      </c>
      <c r="BH7" s="24">
        <v>21</v>
      </c>
      <c r="BI7" s="24">
        <v>52</v>
      </c>
      <c r="BJ7" s="24">
        <v>3</v>
      </c>
      <c r="BK7" s="24">
        <v>9</v>
      </c>
      <c r="BL7" s="37">
        <f t="shared" si="0"/>
        <v>4514.4399999999996</v>
      </c>
      <c r="BM7" s="37">
        <f t="shared" si="0"/>
        <v>8796.57</v>
      </c>
    </row>
    <row r="8" spans="1:65" x14ac:dyDescent="0.25">
      <c r="A8" s="36" t="s">
        <v>173</v>
      </c>
      <c r="B8" s="24">
        <v>40</v>
      </c>
      <c r="C8" s="24">
        <v>102</v>
      </c>
      <c r="D8" s="24">
        <v>297</v>
      </c>
      <c r="E8" s="24">
        <v>659</v>
      </c>
      <c r="F8" s="24">
        <v>293</v>
      </c>
      <c r="G8" s="24">
        <v>580</v>
      </c>
      <c r="H8" s="24">
        <v>712</v>
      </c>
      <c r="I8" s="24">
        <v>1486</v>
      </c>
      <c r="J8" s="24">
        <v>637</v>
      </c>
      <c r="K8" s="24">
        <v>1197</v>
      </c>
      <c r="L8" s="24">
        <v>392</v>
      </c>
      <c r="M8" s="24">
        <v>812</v>
      </c>
      <c r="N8" s="24">
        <v>1347</v>
      </c>
      <c r="O8" s="24">
        <v>1857</v>
      </c>
      <c r="P8" s="24">
        <v>761.22</v>
      </c>
      <c r="Q8" s="24">
        <v>1393.79</v>
      </c>
      <c r="R8" s="24">
        <v>108.82</v>
      </c>
      <c r="S8" s="24">
        <v>205.93</v>
      </c>
      <c r="T8" s="24">
        <v>314.66000000000003</v>
      </c>
      <c r="U8" s="24">
        <v>708.11</v>
      </c>
      <c r="V8" s="24">
        <v>1120</v>
      </c>
      <c r="W8" s="24">
        <v>2329</v>
      </c>
      <c r="X8" s="24">
        <v>2571</v>
      </c>
      <c r="Y8" s="24">
        <v>5179</v>
      </c>
      <c r="Z8" s="24">
        <v>1320</v>
      </c>
      <c r="AA8" s="24">
        <v>2486</v>
      </c>
      <c r="AB8" s="24">
        <v>379</v>
      </c>
      <c r="AC8" s="24">
        <v>700</v>
      </c>
      <c r="AD8" s="24">
        <v>394</v>
      </c>
      <c r="AE8" s="24">
        <v>819</v>
      </c>
      <c r="AF8" s="47">
        <v>225</v>
      </c>
      <c r="AG8" s="24">
        <v>381</v>
      </c>
      <c r="AH8" s="24">
        <v>277.86</v>
      </c>
      <c r="AI8" s="24">
        <v>512.72</v>
      </c>
      <c r="AJ8" s="24">
        <v>2330.09</v>
      </c>
      <c r="AK8" s="24">
        <v>4426.3999999999996</v>
      </c>
      <c r="AL8" s="24">
        <v>53</v>
      </c>
      <c r="AM8" s="24">
        <v>100</v>
      </c>
      <c r="AN8" s="24">
        <v>478</v>
      </c>
      <c r="AO8" s="24">
        <v>873</v>
      </c>
      <c r="AP8" s="24">
        <v>38</v>
      </c>
      <c r="AQ8" s="24">
        <v>101</v>
      </c>
      <c r="AR8" s="24">
        <v>638</v>
      </c>
      <c r="AS8" s="24">
        <v>1328</v>
      </c>
      <c r="AT8" s="24">
        <v>894</v>
      </c>
      <c r="AU8" s="24">
        <v>1389</v>
      </c>
      <c r="AV8" s="24">
        <v>673</v>
      </c>
      <c r="AW8" s="24">
        <v>1331</v>
      </c>
      <c r="AX8" s="24">
        <v>318</v>
      </c>
      <c r="AY8" s="24">
        <v>623</v>
      </c>
      <c r="AZ8" s="24">
        <v>2361</v>
      </c>
      <c r="BA8" s="24">
        <v>4307</v>
      </c>
      <c r="BB8" s="24">
        <v>1205</v>
      </c>
      <c r="BC8" s="24">
        <v>2631</v>
      </c>
      <c r="BD8" s="24">
        <v>4520</v>
      </c>
      <c r="BE8" s="24">
        <v>7454</v>
      </c>
      <c r="BF8" s="24">
        <v>2040</v>
      </c>
      <c r="BG8" s="24">
        <v>3899</v>
      </c>
      <c r="BH8" s="24">
        <v>3004</v>
      </c>
      <c r="BI8" s="24">
        <v>5199</v>
      </c>
      <c r="BJ8" s="24">
        <v>299</v>
      </c>
      <c r="BK8" s="24">
        <v>996</v>
      </c>
      <c r="BL8" s="37">
        <f t="shared" si="0"/>
        <v>30040.65</v>
      </c>
      <c r="BM8" s="37">
        <f t="shared" si="0"/>
        <v>56064.950000000004</v>
      </c>
    </row>
    <row r="9" spans="1:65" x14ac:dyDescent="0.25">
      <c r="A9" s="36" t="s">
        <v>174</v>
      </c>
      <c r="B9" s="24">
        <v>35</v>
      </c>
      <c r="C9" s="24">
        <v>47</v>
      </c>
      <c r="D9" s="24">
        <v>107</v>
      </c>
      <c r="E9" s="24">
        <v>225</v>
      </c>
      <c r="F9" s="24">
        <v>74</v>
      </c>
      <c r="G9" s="24">
        <v>113</v>
      </c>
      <c r="H9" s="24">
        <v>357</v>
      </c>
      <c r="I9" s="24">
        <v>674</v>
      </c>
      <c r="J9" s="24">
        <v>27</v>
      </c>
      <c r="K9" s="24">
        <v>41</v>
      </c>
      <c r="L9" s="24">
        <v>76</v>
      </c>
      <c r="M9" s="24">
        <v>173</v>
      </c>
      <c r="N9" s="24"/>
      <c r="O9" s="24"/>
      <c r="P9" s="24">
        <v>389.83</v>
      </c>
      <c r="Q9" s="24">
        <v>627.5</v>
      </c>
      <c r="R9" s="24">
        <v>34.36</v>
      </c>
      <c r="S9" s="24">
        <v>50.03</v>
      </c>
      <c r="T9" s="24">
        <v>1197.45</v>
      </c>
      <c r="U9" s="24">
        <v>2311.34</v>
      </c>
      <c r="V9" s="24">
        <v>632</v>
      </c>
      <c r="W9" s="24">
        <v>1212</v>
      </c>
      <c r="X9" s="24">
        <v>1376</v>
      </c>
      <c r="Y9" s="24">
        <v>3184</v>
      </c>
      <c r="Z9" s="24">
        <v>728</v>
      </c>
      <c r="AA9" s="24">
        <v>1167</v>
      </c>
      <c r="AB9" s="24">
        <v>49</v>
      </c>
      <c r="AC9" s="24">
        <v>93</v>
      </c>
      <c r="AD9" s="24">
        <v>202</v>
      </c>
      <c r="AE9" s="24">
        <v>408</v>
      </c>
      <c r="AF9" s="47">
        <v>60</v>
      </c>
      <c r="AG9" s="24">
        <v>115</v>
      </c>
      <c r="AH9" s="24">
        <v>16.72</v>
      </c>
      <c r="AI9" s="24">
        <v>21.68</v>
      </c>
      <c r="AJ9" s="24">
        <v>26.57</v>
      </c>
      <c r="AK9" s="24">
        <v>318.70999999999998</v>
      </c>
      <c r="AL9" s="24">
        <v>1</v>
      </c>
      <c r="AM9" s="24">
        <v>2</v>
      </c>
      <c r="AN9" s="24">
        <v>254</v>
      </c>
      <c r="AO9" s="24">
        <v>477</v>
      </c>
      <c r="AP9" s="24">
        <v>-1</v>
      </c>
      <c r="AQ9" s="24">
        <v>0</v>
      </c>
      <c r="AR9" s="24">
        <v>1685</v>
      </c>
      <c r="AS9" s="24">
        <v>3127</v>
      </c>
      <c r="AT9" s="24">
        <v>158</v>
      </c>
      <c r="AU9" s="24">
        <v>335</v>
      </c>
      <c r="AV9" s="24">
        <v>869</v>
      </c>
      <c r="AW9" s="24">
        <v>1578</v>
      </c>
      <c r="AX9" s="24">
        <v>80</v>
      </c>
      <c r="AY9" s="24">
        <v>132</v>
      </c>
      <c r="AZ9" s="24">
        <v>785</v>
      </c>
      <c r="BA9" s="24">
        <v>1490</v>
      </c>
      <c r="BB9" s="24">
        <v>54</v>
      </c>
      <c r="BC9" s="24">
        <v>151</v>
      </c>
      <c r="BD9" s="24">
        <v>1849</v>
      </c>
      <c r="BE9" s="24">
        <v>3610</v>
      </c>
      <c r="BF9" s="24">
        <v>658</v>
      </c>
      <c r="BG9" s="24">
        <v>1230</v>
      </c>
      <c r="BH9" s="24">
        <v>293</v>
      </c>
      <c r="BI9" s="24">
        <v>521</v>
      </c>
      <c r="BJ9" s="24">
        <v>179</v>
      </c>
      <c r="BK9" s="24">
        <v>423</v>
      </c>
      <c r="BL9" s="37">
        <f t="shared" si="0"/>
        <v>12251.93</v>
      </c>
      <c r="BM9" s="37">
        <f t="shared" si="0"/>
        <v>23857.26</v>
      </c>
    </row>
    <row r="10" spans="1:65" x14ac:dyDescent="0.25">
      <c r="A10" s="36" t="s">
        <v>175</v>
      </c>
      <c r="B10" s="24">
        <v>1</v>
      </c>
      <c r="C10" s="24">
        <v>1</v>
      </c>
      <c r="D10" s="24">
        <v>73</v>
      </c>
      <c r="E10" s="24">
        <v>284</v>
      </c>
      <c r="F10" s="24">
        <v>27</v>
      </c>
      <c r="G10" s="24">
        <v>53</v>
      </c>
      <c r="H10" s="24">
        <v>185</v>
      </c>
      <c r="I10" s="24">
        <v>465</v>
      </c>
      <c r="J10" s="24">
        <v>97</v>
      </c>
      <c r="K10" s="24">
        <v>217</v>
      </c>
      <c r="L10" s="24">
        <v>79</v>
      </c>
      <c r="M10" s="24">
        <v>180</v>
      </c>
      <c r="N10" s="24">
        <v>41</v>
      </c>
      <c r="O10" s="24">
        <v>73</v>
      </c>
      <c r="P10" s="24">
        <v>58.5</v>
      </c>
      <c r="Q10" s="24">
        <v>96.22</v>
      </c>
      <c r="R10" s="24">
        <v>9.36</v>
      </c>
      <c r="S10" s="24">
        <v>10.11</v>
      </c>
      <c r="T10" s="24">
        <v>102.29</v>
      </c>
      <c r="U10" s="24">
        <v>288.85000000000002</v>
      </c>
      <c r="V10" s="24">
        <v>500</v>
      </c>
      <c r="W10" s="24">
        <v>923</v>
      </c>
      <c r="X10" s="24">
        <v>404</v>
      </c>
      <c r="Y10" s="24">
        <v>736</v>
      </c>
      <c r="Z10" s="24">
        <v>184</v>
      </c>
      <c r="AA10" s="24">
        <v>296</v>
      </c>
      <c r="AB10" s="24">
        <v>40</v>
      </c>
      <c r="AC10" s="24">
        <v>82</v>
      </c>
      <c r="AD10" s="24">
        <v>52</v>
      </c>
      <c r="AE10" s="24">
        <v>120</v>
      </c>
      <c r="AF10" s="47">
        <v>32</v>
      </c>
      <c r="AG10" s="24">
        <v>56</v>
      </c>
      <c r="AH10" s="24">
        <v>62.34</v>
      </c>
      <c r="AI10" s="24">
        <v>92.59</v>
      </c>
      <c r="AJ10" s="24">
        <v>706.23</v>
      </c>
      <c r="AK10" s="24">
        <v>1140.28</v>
      </c>
      <c r="AL10" s="24">
        <v>5</v>
      </c>
      <c r="AM10" s="24">
        <v>6</v>
      </c>
      <c r="AN10" s="24">
        <v>31</v>
      </c>
      <c r="AO10" s="24">
        <v>45</v>
      </c>
      <c r="AP10" s="24">
        <v>-26</v>
      </c>
      <c r="AQ10" s="24">
        <v>-16</v>
      </c>
      <c r="AR10" s="24">
        <v>113</v>
      </c>
      <c r="AS10" s="24">
        <v>148</v>
      </c>
      <c r="AT10" s="24">
        <v>77</v>
      </c>
      <c r="AU10" s="24">
        <v>175</v>
      </c>
      <c r="AV10" s="24">
        <v>635</v>
      </c>
      <c r="AW10" s="24">
        <v>1224</v>
      </c>
      <c r="AX10" s="24">
        <v>261</v>
      </c>
      <c r="AY10" s="24">
        <v>382</v>
      </c>
      <c r="AZ10" s="24">
        <v>257</v>
      </c>
      <c r="BA10" s="24">
        <v>718</v>
      </c>
      <c r="BB10" s="24">
        <v>309</v>
      </c>
      <c r="BC10" s="24">
        <v>515</v>
      </c>
      <c r="BD10" s="24">
        <v>750</v>
      </c>
      <c r="BE10" s="24">
        <v>1418</v>
      </c>
      <c r="BF10" s="24">
        <v>282</v>
      </c>
      <c r="BG10" s="24">
        <v>543</v>
      </c>
      <c r="BH10" s="24">
        <v>414</v>
      </c>
      <c r="BI10" s="24">
        <v>684</v>
      </c>
      <c r="BJ10" s="24">
        <v>139</v>
      </c>
      <c r="BK10" s="24">
        <v>309</v>
      </c>
      <c r="BL10" s="37">
        <f t="shared" si="0"/>
        <v>5900.72</v>
      </c>
      <c r="BM10" s="37">
        <f t="shared" si="0"/>
        <v>11265.05</v>
      </c>
    </row>
    <row r="11" spans="1:65" x14ac:dyDescent="0.25">
      <c r="A11" s="36" t="s">
        <v>176</v>
      </c>
      <c r="B11" s="24">
        <v>19</v>
      </c>
      <c r="C11" s="24">
        <v>51</v>
      </c>
      <c r="D11" s="24">
        <v>147</v>
      </c>
      <c r="E11" s="24">
        <v>344</v>
      </c>
      <c r="F11" s="24">
        <v>29</v>
      </c>
      <c r="G11" s="24">
        <v>45</v>
      </c>
      <c r="H11" s="24">
        <v>488</v>
      </c>
      <c r="I11" s="24">
        <v>908</v>
      </c>
      <c r="J11" s="24">
        <v>195</v>
      </c>
      <c r="K11" s="24">
        <v>648</v>
      </c>
      <c r="L11" s="24">
        <v>260</v>
      </c>
      <c r="M11" s="24">
        <v>615</v>
      </c>
      <c r="N11" s="24">
        <v>44</v>
      </c>
      <c r="O11" s="24">
        <v>90</v>
      </c>
      <c r="P11" s="24">
        <v>35.11</v>
      </c>
      <c r="Q11" s="24">
        <v>84.34</v>
      </c>
      <c r="R11" s="24">
        <v>40.75</v>
      </c>
      <c r="S11" s="24">
        <v>59.81</v>
      </c>
      <c r="T11" s="24">
        <v>69.83</v>
      </c>
      <c r="U11" s="24">
        <v>272.07</v>
      </c>
      <c r="V11" s="24">
        <v>252</v>
      </c>
      <c r="W11" s="24">
        <v>555</v>
      </c>
      <c r="X11" s="24">
        <v>1701</v>
      </c>
      <c r="Y11" s="24">
        <v>3427</v>
      </c>
      <c r="Z11" s="24">
        <v>229</v>
      </c>
      <c r="AA11" s="24">
        <v>377</v>
      </c>
      <c r="AB11" s="24">
        <v>47</v>
      </c>
      <c r="AC11" s="24">
        <v>92</v>
      </c>
      <c r="AD11" s="24">
        <v>83</v>
      </c>
      <c r="AE11" s="24">
        <v>149</v>
      </c>
      <c r="AF11" s="47">
        <v>48</v>
      </c>
      <c r="AG11" s="24">
        <v>114</v>
      </c>
      <c r="AH11" s="24">
        <v>65.69</v>
      </c>
      <c r="AI11" s="24">
        <v>179.09</v>
      </c>
      <c r="AJ11" s="24">
        <v>798.09</v>
      </c>
      <c r="AK11" s="24">
        <v>910.23</v>
      </c>
      <c r="AL11" s="24">
        <v>5</v>
      </c>
      <c r="AM11" s="24">
        <v>15</v>
      </c>
      <c r="AN11" s="24">
        <v>520</v>
      </c>
      <c r="AO11" s="24">
        <v>1026</v>
      </c>
      <c r="AP11" s="24">
        <v>-24</v>
      </c>
      <c r="AQ11" s="24">
        <v>3</v>
      </c>
      <c r="AR11" s="24">
        <v>426</v>
      </c>
      <c r="AS11" s="24">
        <v>797</v>
      </c>
      <c r="AT11" s="24">
        <v>144</v>
      </c>
      <c r="AU11" s="24">
        <v>339</v>
      </c>
      <c r="AV11" s="24">
        <v>757</v>
      </c>
      <c r="AW11" s="24">
        <v>1538</v>
      </c>
      <c r="AX11" s="24">
        <v>139</v>
      </c>
      <c r="AY11" s="24">
        <v>213</v>
      </c>
      <c r="AZ11" s="24">
        <v>548</v>
      </c>
      <c r="BA11" s="24">
        <v>1306</v>
      </c>
      <c r="BB11" s="24">
        <v>390</v>
      </c>
      <c r="BC11" s="24">
        <v>927</v>
      </c>
      <c r="BD11" s="24">
        <v>503</v>
      </c>
      <c r="BE11" s="24">
        <v>948</v>
      </c>
      <c r="BF11" s="24">
        <v>199</v>
      </c>
      <c r="BG11" s="24">
        <v>386</v>
      </c>
      <c r="BH11" s="24">
        <v>780</v>
      </c>
      <c r="BI11" s="24">
        <v>1249</v>
      </c>
      <c r="BJ11" s="24">
        <v>258</v>
      </c>
      <c r="BK11" s="24">
        <v>402</v>
      </c>
      <c r="BL11" s="37">
        <f t="shared" si="0"/>
        <v>9196.4699999999993</v>
      </c>
      <c r="BM11" s="37">
        <f t="shared" si="0"/>
        <v>18069.54</v>
      </c>
    </row>
    <row r="12" spans="1:65" x14ac:dyDescent="0.25">
      <c r="A12" s="36" t="s">
        <v>177</v>
      </c>
      <c r="B12" s="24">
        <v>102</v>
      </c>
      <c r="C12" s="24">
        <v>191</v>
      </c>
      <c r="D12" s="24">
        <v>588</v>
      </c>
      <c r="E12" s="24">
        <v>1221</v>
      </c>
      <c r="F12" s="24">
        <v>94</v>
      </c>
      <c r="G12" s="24">
        <v>198</v>
      </c>
      <c r="H12" s="24">
        <v>395</v>
      </c>
      <c r="I12" s="24">
        <v>738</v>
      </c>
      <c r="J12" s="24">
        <v>383</v>
      </c>
      <c r="K12" s="24">
        <v>879</v>
      </c>
      <c r="L12" s="24">
        <v>314</v>
      </c>
      <c r="M12" s="24">
        <v>520</v>
      </c>
      <c r="N12" s="24">
        <v>13339</v>
      </c>
      <c r="O12" s="24">
        <v>23568</v>
      </c>
      <c r="P12" s="24">
        <v>323.17</v>
      </c>
      <c r="Q12" s="24">
        <v>472.09</v>
      </c>
      <c r="R12" s="24">
        <v>294.49</v>
      </c>
      <c r="S12" s="24">
        <v>372.95</v>
      </c>
      <c r="T12" s="24">
        <v>379.88</v>
      </c>
      <c r="U12" s="24">
        <v>819.85</v>
      </c>
      <c r="V12" s="24">
        <v>16141</v>
      </c>
      <c r="W12" s="24">
        <v>27563</v>
      </c>
      <c r="X12" s="24">
        <v>1988</v>
      </c>
      <c r="Y12" s="24">
        <v>3495</v>
      </c>
      <c r="Z12" s="24">
        <v>1794</v>
      </c>
      <c r="AA12" s="24">
        <v>3537</v>
      </c>
      <c r="AB12" s="24">
        <v>174</v>
      </c>
      <c r="AC12" s="24">
        <v>338</v>
      </c>
      <c r="AD12" s="24">
        <v>360</v>
      </c>
      <c r="AE12" s="24">
        <v>603</v>
      </c>
      <c r="AF12" s="47">
        <v>188</v>
      </c>
      <c r="AG12" s="24">
        <v>484</v>
      </c>
      <c r="AH12" s="24">
        <v>697.82</v>
      </c>
      <c r="AI12" s="24">
        <v>1390.24</v>
      </c>
      <c r="AJ12" s="24">
        <v>491.43</v>
      </c>
      <c r="AK12" s="24">
        <v>817.72</v>
      </c>
      <c r="AL12" s="24">
        <v>191</v>
      </c>
      <c r="AM12" s="24">
        <v>473</v>
      </c>
      <c r="AN12" s="24">
        <v>504</v>
      </c>
      <c r="AO12" s="24">
        <v>1056</v>
      </c>
      <c r="AP12" s="24">
        <v>132</v>
      </c>
      <c r="AQ12" s="24">
        <v>262</v>
      </c>
      <c r="AR12" s="24">
        <v>264</v>
      </c>
      <c r="AS12" s="24">
        <v>466</v>
      </c>
      <c r="AT12" s="24">
        <v>52</v>
      </c>
      <c r="AU12" s="24">
        <v>90</v>
      </c>
      <c r="AV12" s="24">
        <v>1430</v>
      </c>
      <c r="AW12" s="24">
        <v>3488</v>
      </c>
      <c r="AX12" s="24">
        <v>677</v>
      </c>
      <c r="AY12" s="24">
        <v>1303</v>
      </c>
      <c r="AZ12" s="24">
        <v>1088</v>
      </c>
      <c r="BA12" s="24">
        <v>1976</v>
      </c>
      <c r="BB12" s="24">
        <v>16714</v>
      </c>
      <c r="BC12" s="24">
        <v>28424</v>
      </c>
      <c r="BD12" s="24">
        <v>1679</v>
      </c>
      <c r="BE12" s="24">
        <v>3439</v>
      </c>
      <c r="BF12" s="24">
        <v>199</v>
      </c>
      <c r="BG12" s="24">
        <v>350</v>
      </c>
      <c r="BH12" s="24">
        <v>227</v>
      </c>
      <c r="BI12" s="24">
        <v>443</v>
      </c>
      <c r="BJ12" s="24">
        <v>361</v>
      </c>
      <c r="BK12" s="24">
        <v>495</v>
      </c>
      <c r="BL12" s="37">
        <f t="shared" si="0"/>
        <v>61564.79</v>
      </c>
      <c r="BM12" s="37">
        <f t="shared" si="0"/>
        <v>109472.85</v>
      </c>
    </row>
    <row r="13" spans="1:65" x14ac:dyDescent="0.25">
      <c r="A13" s="36" t="s">
        <v>178</v>
      </c>
      <c r="B13" s="24">
        <v>12670</v>
      </c>
      <c r="C13" s="24">
        <v>25308</v>
      </c>
      <c r="D13" s="24">
        <v>4824</v>
      </c>
      <c r="E13" s="24">
        <v>11555</v>
      </c>
      <c r="F13" s="24">
        <v>3815</v>
      </c>
      <c r="G13" s="24">
        <v>4496</v>
      </c>
      <c r="H13" s="24">
        <v>4848</v>
      </c>
      <c r="I13" s="24">
        <v>8517</v>
      </c>
      <c r="J13" s="24">
        <v>6939</v>
      </c>
      <c r="K13" s="24">
        <v>15106</v>
      </c>
      <c r="L13" s="24">
        <v>15960</v>
      </c>
      <c r="M13" s="24">
        <v>29570</v>
      </c>
      <c r="N13" s="24">
        <v>23806</v>
      </c>
      <c r="O13" s="24">
        <v>43397</v>
      </c>
      <c r="P13" s="24">
        <v>200.98</v>
      </c>
      <c r="Q13" s="24">
        <v>334.22</v>
      </c>
      <c r="R13" s="24">
        <v>2813.97</v>
      </c>
      <c r="S13" s="24">
        <v>4457.4399999999996</v>
      </c>
      <c r="T13" s="24">
        <v>5660.5</v>
      </c>
      <c r="U13" s="24">
        <v>13981.43</v>
      </c>
      <c r="V13" s="24">
        <v>15133</v>
      </c>
      <c r="W13" s="24">
        <v>26107</v>
      </c>
      <c r="X13" s="24">
        <v>13688</v>
      </c>
      <c r="Y13" s="24">
        <v>27138</v>
      </c>
      <c r="Z13" s="24">
        <v>6700</v>
      </c>
      <c r="AA13" s="24">
        <v>13084</v>
      </c>
      <c r="AB13" s="24">
        <v>3156</v>
      </c>
      <c r="AC13" s="24">
        <v>5382</v>
      </c>
      <c r="AD13" s="24">
        <v>2545</v>
      </c>
      <c r="AE13" s="24">
        <v>3958</v>
      </c>
      <c r="AF13" s="47">
        <v>15385</v>
      </c>
      <c r="AG13" s="24">
        <v>29916</v>
      </c>
      <c r="AH13" s="24">
        <v>1812.35</v>
      </c>
      <c r="AI13" s="24">
        <v>5195.5600000000004</v>
      </c>
      <c r="AJ13" s="24">
        <v>-11.33</v>
      </c>
      <c r="AK13" s="24">
        <v>4.3499999999999996</v>
      </c>
      <c r="AL13" s="24">
        <v>209</v>
      </c>
      <c r="AM13" s="24">
        <v>349</v>
      </c>
      <c r="AN13" s="24">
        <v>7766</v>
      </c>
      <c r="AO13" s="24">
        <v>13853</v>
      </c>
      <c r="AP13" s="24">
        <v>1739</v>
      </c>
      <c r="AQ13" s="24">
        <v>3964</v>
      </c>
      <c r="AR13" s="24">
        <v>32376</v>
      </c>
      <c r="AS13" s="24">
        <v>56755</v>
      </c>
      <c r="AT13" s="24">
        <v>10562</v>
      </c>
      <c r="AU13" s="24">
        <v>12795</v>
      </c>
      <c r="AV13" s="24">
        <v>8947</v>
      </c>
      <c r="AW13" s="24">
        <v>16075</v>
      </c>
      <c r="AX13" s="24">
        <v>1</v>
      </c>
      <c r="AY13" s="24">
        <v>506</v>
      </c>
      <c r="AZ13" s="24">
        <v>3289</v>
      </c>
      <c r="BA13" s="24">
        <v>7650</v>
      </c>
      <c r="BB13" s="24">
        <v>17855</v>
      </c>
      <c r="BC13" s="24">
        <v>44652</v>
      </c>
      <c r="BD13" s="24">
        <v>358</v>
      </c>
      <c r="BE13" s="24">
        <v>2396</v>
      </c>
      <c r="BF13" s="24">
        <v>30</v>
      </c>
      <c r="BG13" s="24">
        <v>58</v>
      </c>
      <c r="BH13" s="24">
        <v>17</v>
      </c>
      <c r="BI13" s="24">
        <v>36</v>
      </c>
      <c r="BJ13" s="24">
        <v>5204</v>
      </c>
      <c r="BK13" s="24">
        <v>11355</v>
      </c>
      <c r="BL13" s="37">
        <f t="shared" si="0"/>
        <v>228298.47000000003</v>
      </c>
      <c r="BM13" s="37">
        <f t="shared" si="0"/>
        <v>437950.99999999994</v>
      </c>
    </row>
    <row r="14" spans="1:65" x14ac:dyDescent="0.25">
      <c r="A14" s="36" t="s">
        <v>179</v>
      </c>
      <c r="B14" s="24">
        <v>95</v>
      </c>
      <c r="C14" s="24">
        <v>174</v>
      </c>
      <c r="D14" s="24">
        <v>73</v>
      </c>
      <c r="E14" s="24">
        <v>192</v>
      </c>
      <c r="F14" s="24">
        <v>9</v>
      </c>
      <c r="G14" s="24">
        <v>10</v>
      </c>
      <c r="H14" s="24">
        <v>927</v>
      </c>
      <c r="I14" s="24">
        <v>1716</v>
      </c>
      <c r="J14" s="24">
        <v>282</v>
      </c>
      <c r="K14" s="24">
        <v>548</v>
      </c>
      <c r="L14" s="24">
        <v>651</v>
      </c>
      <c r="M14" s="24">
        <v>1124</v>
      </c>
      <c r="N14" s="24">
        <v>488</v>
      </c>
      <c r="O14" s="24">
        <v>874</v>
      </c>
      <c r="P14" s="24">
        <v>1.53</v>
      </c>
      <c r="Q14" s="24">
        <v>3.17</v>
      </c>
      <c r="R14" s="24">
        <v>44.8</v>
      </c>
      <c r="S14" s="24">
        <v>76.02</v>
      </c>
      <c r="T14" s="24">
        <v>296.36</v>
      </c>
      <c r="U14" s="24">
        <v>530.69000000000005</v>
      </c>
      <c r="V14" s="24">
        <v>703</v>
      </c>
      <c r="W14" s="24">
        <v>1667</v>
      </c>
      <c r="X14" s="24">
        <v>1488</v>
      </c>
      <c r="Y14" s="24">
        <v>3053</v>
      </c>
      <c r="Z14" s="24">
        <v>725</v>
      </c>
      <c r="AA14" s="24">
        <v>1513</v>
      </c>
      <c r="AB14" s="24">
        <v>95</v>
      </c>
      <c r="AC14" s="24">
        <v>168</v>
      </c>
      <c r="AD14" s="24">
        <v>207</v>
      </c>
      <c r="AE14" s="24">
        <v>340</v>
      </c>
      <c r="AF14" s="47">
        <v>324</v>
      </c>
      <c r="AG14" s="24">
        <v>573</v>
      </c>
      <c r="AH14" s="24">
        <v>73.930000000000007</v>
      </c>
      <c r="AI14" s="24">
        <v>138.29</v>
      </c>
      <c r="AJ14" s="24">
        <v>-34.89</v>
      </c>
      <c r="AK14" s="24">
        <v>-18.190000000000001</v>
      </c>
      <c r="AL14" s="24">
        <v>11</v>
      </c>
      <c r="AM14" s="24">
        <v>22</v>
      </c>
      <c r="AN14" s="24">
        <v>283</v>
      </c>
      <c r="AO14" s="24">
        <v>548</v>
      </c>
      <c r="AP14" s="24">
        <v>81</v>
      </c>
      <c r="AQ14" s="24">
        <v>140</v>
      </c>
      <c r="AR14" s="24">
        <v>675</v>
      </c>
      <c r="AS14" s="24">
        <v>1110</v>
      </c>
      <c r="AT14" s="24">
        <v>250</v>
      </c>
      <c r="AU14" s="24">
        <v>467</v>
      </c>
      <c r="AV14" s="24">
        <v>392</v>
      </c>
      <c r="AW14" s="24">
        <v>757</v>
      </c>
      <c r="AX14" s="24">
        <v>309</v>
      </c>
      <c r="AY14" s="24">
        <v>467</v>
      </c>
      <c r="AZ14" s="24">
        <v>160</v>
      </c>
      <c r="BA14" s="24">
        <v>211</v>
      </c>
      <c r="BB14" s="24">
        <v>716</v>
      </c>
      <c r="BC14" s="24">
        <v>1309</v>
      </c>
      <c r="BD14" s="24">
        <v>351</v>
      </c>
      <c r="BE14" s="24">
        <v>967</v>
      </c>
      <c r="BF14" s="24">
        <v>32</v>
      </c>
      <c r="BG14" s="24">
        <v>293</v>
      </c>
      <c r="BH14" s="24">
        <v>562</v>
      </c>
      <c r="BI14" s="24">
        <v>722</v>
      </c>
      <c r="BJ14" s="24">
        <v>535</v>
      </c>
      <c r="BK14" s="24">
        <v>975</v>
      </c>
      <c r="BL14" s="37">
        <f t="shared" si="0"/>
        <v>10805.73</v>
      </c>
      <c r="BM14" s="37">
        <f t="shared" si="0"/>
        <v>20669.980000000003</v>
      </c>
    </row>
    <row r="15" spans="1:65" x14ac:dyDescent="0.25">
      <c r="A15" s="48" t="s">
        <v>31</v>
      </c>
      <c r="B15" s="24">
        <f>B17-B16-B14-B13-B12-B11-B10-B9-B8-B7-B6-B5</f>
        <v>1405</v>
      </c>
      <c r="C15" s="24">
        <f t="shared" ref="C15:BK15" si="1">C17-C16-C14-C13-C12-C11-C10-C9-C8-C7-C6-C5</f>
        <v>2777</v>
      </c>
      <c r="D15" s="24">
        <f t="shared" si="1"/>
        <v>4385</v>
      </c>
      <c r="E15" s="24">
        <f t="shared" si="1"/>
        <v>9165</v>
      </c>
      <c r="F15" s="24">
        <f t="shared" si="1"/>
        <v>6699</v>
      </c>
      <c r="G15" s="24">
        <f t="shared" si="1"/>
        <v>9026</v>
      </c>
      <c r="H15" s="24">
        <f t="shared" si="1"/>
        <v>35409</v>
      </c>
      <c r="I15" s="24">
        <f t="shared" si="1"/>
        <v>65297</v>
      </c>
      <c r="J15" s="24">
        <f t="shared" si="1"/>
        <v>1677</v>
      </c>
      <c r="K15" s="24">
        <f t="shared" si="1"/>
        <v>3526</v>
      </c>
      <c r="L15" s="24">
        <f t="shared" si="1"/>
        <v>10345</v>
      </c>
      <c r="M15" s="24">
        <f t="shared" si="1"/>
        <v>21236</v>
      </c>
      <c r="N15" s="24">
        <f t="shared" si="1"/>
        <v>5313</v>
      </c>
      <c r="O15" s="24">
        <f t="shared" si="1"/>
        <v>9833</v>
      </c>
      <c r="P15" s="24">
        <f t="shared" si="1"/>
        <v>1636.6499999999987</v>
      </c>
      <c r="Q15" s="24">
        <f t="shared" si="1"/>
        <v>2393.5400000000009</v>
      </c>
      <c r="R15" s="24">
        <f t="shared" si="1"/>
        <v>635.04999999999927</v>
      </c>
      <c r="S15" s="24">
        <f t="shared" si="1"/>
        <v>1170.3300000000008</v>
      </c>
      <c r="T15" s="24">
        <f t="shared" si="1"/>
        <v>6470.7699999999932</v>
      </c>
      <c r="U15" s="24">
        <f t="shared" si="1"/>
        <v>12572.939999999999</v>
      </c>
      <c r="V15" s="24">
        <f t="shared" si="1"/>
        <v>7428</v>
      </c>
      <c r="W15" s="24">
        <f t="shared" si="1"/>
        <v>12666</v>
      </c>
      <c r="X15" s="24">
        <f t="shared" si="1"/>
        <v>54785</v>
      </c>
      <c r="Y15" s="24">
        <f t="shared" si="1"/>
        <v>107927</v>
      </c>
      <c r="Z15" s="24">
        <f t="shared" si="1"/>
        <v>2712</v>
      </c>
      <c r="AA15" s="24">
        <f t="shared" si="1"/>
        <v>5359</v>
      </c>
      <c r="AB15" s="24">
        <f t="shared" si="1"/>
        <v>1591</v>
      </c>
      <c r="AC15" s="24">
        <f t="shared" si="1"/>
        <v>2955</v>
      </c>
      <c r="AD15" s="24">
        <f t="shared" si="1"/>
        <v>5394</v>
      </c>
      <c r="AE15" s="24">
        <f t="shared" si="1"/>
        <v>11682</v>
      </c>
      <c r="AF15" s="24">
        <f t="shared" si="1"/>
        <v>1260</v>
      </c>
      <c r="AG15" s="24">
        <f t="shared" si="1"/>
        <v>2240</v>
      </c>
      <c r="AH15" s="24">
        <f t="shared" si="1"/>
        <v>1609.6800000000012</v>
      </c>
      <c r="AI15" s="24">
        <f t="shared" si="1"/>
        <v>2630.24</v>
      </c>
      <c r="AJ15" s="24">
        <f t="shared" si="1"/>
        <v>8680.7099999999919</v>
      </c>
      <c r="AK15" s="24">
        <f t="shared" si="1"/>
        <v>18231.400000000023</v>
      </c>
      <c r="AL15" s="24">
        <f t="shared" si="1"/>
        <v>268</v>
      </c>
      <c r="AM15" s="24">
        <f t="shared" si="1"/>
        <v>517</v>
      </c>
      <c r="AN15" s="24">
        <f t="shared" si="1"/>
        <v>1326</v>
      </c>
      <c r="AO15" s="24">
        <f t="shared" si="1"/>
        <v>2469</v>
      </c>
      <c r="AP15" s="24">
        <f t="shared" si="1"/>
        <v>477</v>
      </c>
      <c r="AQ15" s="24">
        <f t="shared" si="1"/>
        <v>936</v>
      </c>
      <c r="AR15" s="24">
        <f t="shared" si="1"/>
        <v>5271</v>
      </c>
      <c r="AS15" s="24">
        <f t="shared" si="1"/>
        <v>9114</v>
      </c>
      <c r="AT15" s="24">
        <f t="shared" si="1"/>
        <v>2213</v>
      </c>
      <c r="AU15" s="24">
        <f t="shared" si="1"/>
        <v>9222</v>
      </c>
      <c r="AV15" s="24">
        <f t="shared" si="1"/>
        <v>9596</v>
      </c>
      <c r="AW15" s="24">
        <f t="shared" si="1"/>
        <v>17027</v>
      </c>
      <c r="AX15" s="24">
        <f t="shared" si="1"/>
        <v>9089</v>
      </c>
      <c r="AY15" s="24">
        <f t="shared" si="1"/>
        <v>17817</v>
      </c>
      <c r="AZ15" s="24">
        <f t="shared" si="1"/>
        <v>5176</v>
      </c>
      <c r="BA15" s="24">
        <f t="shared" si="1"/>
        <v>9994</v>
      </c>
      <c r="BB15" s="24">
        <f t="shared" si="1"/>
        <v>5637</v>
      </c>
      <c r="BC15" s="24">
        <f t="shared" si="1"/>
        <v>9939</v>
      </c>
      <c r="BD15" s="24">
        <f t="shared" si="1"/>
        <v>12686</v>
      </c>
      <c r="BE15" s="24">
        <f t="shared" si="1"/>
        <v>26098</v>
      </c>
      <c r="BF15" s="24">
        <f t="shared" si="1"/>
        <v>4558</v>
      </c>
      <c r="BG15" s="24">
        <f t="shared" si="1"/>
        <v>7575</v>
      </c>
      <c r="BH15" s="24">
        <f t="shared" si="1"/>
        <v>8658</v>
      </c>
      <c r="BI15" s="24">
        <f t="shared" si="1"/>
        <v>16446</v>
      </c>
      <c r="BJ15" s="24">
        <f t="shared" si="1"/>
        <v>1895</v>
      </c>
      <c r="BK15" s="24">
        <f t="shared" si="1"/>
        <v>3169</v>
      </c>
      <c r="BL15" s="37">
        <f t="shared" si="0"/>
        <v>224285.85999999996</v>
      </c>
      <c r="BM15" s="37">
        <f t="shared" si="0"/>
        <v>431010.45</v>
      </c>
    </row>
    <row r="16" spans="1:65" x14ac:dyDescent="0.25">
      <c r="A16" s="36" t="s">
        <v>180</v>
      </c>
      <c r="B16" s="24">
        <v>1</v>
      </c>
      <c r="C16" s="24">
        <v>1</v>
      </c>
      <c r="D16" s="24"/>
      <c r="E16" s="24"/>
      <c r="F16" s="24"/>
      <c r="G16" s="24"/>
      <c r="H16" s="24">
        <v>1553</v>
      </c>
      <c r="I16" s="24">
        <v>2119</v>
      </c>
      <c r="J16" s="24">
        <v>26</v>
      </c>
      <c r="K16" s="24">
        <v>106</v>
      </c>
      <c r="L16" s="24">
        <v>3</v>
      </c>
      <c r="M16" s="24">
        <v>5</v>
      </c>
      <c r="N16" s="24">
        <v>54</v>
      </c>
      <c r="O16" s="24">
        <v>68</v>
      </c>
      <c r="P16" s="24"/>
      <c r="Q16" s="24"/>
      <c r="R16" s="24">
        <v>8.0399999999999991</v>
      </c>
      <c r="S16" s="24">
        <v>18.38</v>
      </c>
      <c r="T16" s="24">
        <v>88.34</v>
      </c>
      <c r="U16" s="24">
        <v>114.26</v>
      </c>
      <c r="V16" s="24">
        <v>138</v>
      </c>
      <c r="W16" s="24">
        <v>402</v>
      </c>
      <c r="X16" s="24">
        <v>1409</v>
      </c>
      <c r="Y16" s="24">
        <v>1904</v>
      </c>
      <c r="Z16" s="24">
        <v>79</v>
      </c>
      <c r="AA16" s="24">
        <v>120</v>
      </c>
      <c r="AB16" s="24"/>
      <c r="AC16" s="24"/>
      <c r="AD16" s="24">
        <v>158</v>
      </c>
      <c r="AE16" s="24">
        <v>325</v>
      </c>
      <c r="AF16" s="47"/>
      <c r="AG16" s="24"/>
      <c r="AH16" s="24"/>
      <c r="AI16" s="24"/>
      <c r="AJ16" s="24">
        <v>764.69</v>
      </c>
      <c r="AK16" s="24">
        <v>915.59</v>
      </c>
      <c r="AL16" s="24">
        <v>13</v>
      </c>
      <c r="AM16" s="24">
        <v>16</v>
      </c>
      <c r="AN16" s="24"/>
      <c r="AO16" s="24"/>
      <c r="AP16" s="24">
        <v>-10</v>
      </c>
      <c r="AQ16" s="24">
        <v>7</v>
      </c>
      <c r="AR16" s="24">
        <v>324</v>
      </c>
      <c r="AS16" s="24">
        <v>647</v>
      </c>
      <c r="AT16" s="24">
        <v>5</v>
      </c>
      <c r="AU16" s="24">
        <v>9</v>
      </c>
      <c r="AV16" s="24">
        <v>722</v>
      </c>
      <c r="AW16" s="24">
        <v>897</v>
      </c>
      <c r="AX16" s="24">
        <v>-1</v>
      </c>
      <c r="AY16" s="24">
        <v>35</v>
      </c>
      <c r="AZ16" s="24"/>
      <c r="BA16" s="24"/>
      <c r="BB16" s="24">
        <v>43</v>
      </c>
      <c r="BC16" s="24">
        <v>75</v>
      </c>
      <c r="BD16" s="24">
        <v>1344</v>
      </c>
      <c r="BE16" s="24">
        <v>2979</v>
      </c>
      <c r="BF16" s="24"/>
      <c r="BG16" s="24"/>
      <c r="BH16" s="24"/>
      <c r="BI16" s="24"/>
      <c r="BJ16" s="24"/>
      <c r="BK16" s="24"/>
      <c r="BL16" s="37">
        <f t="shared" si="0"/>
        <v>6722.07</v>
      </c>
      <c r="BM16" s="37">
        <f t="shared" si="0"/>
        <v>10763.23</v>
      </c>
    </row>
    <row r="17" spans="1:65" s="4" customFormat="1" x14ac:dyDescent="0.25">
      <c r="A17" s="38" t="s">
        <v>40</v>
      </c>
      <c r="B17" s="26">
        <v>17033</v>
      </c>
      <c r="C17" s="26">
        <v>34024</v>
      </c>
      <c r="D17" s="26">
        <v>24003</v>
      </c>
      <c r="E17" s="26">
        <v>48934</v>
      </c>
      <c r="F17" s="26">
        <v>13334</v>
      </c>
      <c r="G17" s="26">
        <v>20025</v>
      </c>
      <c r="H17" s="26">
        <v>66884</v>
      </c>
      <c r="I17" s="26">
        <v>124604</v>
      </c>
      <c r="J17" s="26">
        <v>28578</v>
      </c>
      <c r="K17" s="26">
        <v>59673</v>
      </c>
      <c r="L17" s="26">
        <v>39999</v>
      </c>
      <c r="M17" s="26">
        <v>76758</v>
      </c>
      <c r="N17" s="26">
        <v>50576</v>
      </c>
      <c r="O17" s="26">
        <v>92063</v>
      </c>
      <c r="P17" s="26">
        <v>8554.24</v>
      </c>
      <c r="Q17" s="26">
        <v>15024.83</v>
      </c>
      <c r="R17" s="26">
        <v>5630.4</v>
      </c>
      <c r="S17" s="26">
        <v>9766.24</v>
      </c>
      <c r="T17" s="26">
        <v>23069.62</v>
      </c>
      <c r="U17" s="26">
        <v>50154.75</v>
      </c>
      <c r="V17" s="26">
        <v>64284</v>
      </c>
      <c r="W17" s="26">
        <v>117050</v>
      </c>
      <c r="X17" s="26">
        <v>108727</v>
      </c>
      <c r="Y17" s="26">
        <v>215069</v>
      </c>
      <c r="Z17" s="26">
        <v>26674</v>
      </c>
      <c r="AA17" s="26">
        <v>51229</v>
      </c>
      <c r="AB17" s="26">
        <v>8916</v>
      </c>
      <c r="AC17" s="26">
        <v>16741</v>
      </c>
      <c r="AD17" s="26">
        <v>13695</v>
      </c>
      <c r="AE17" s="26">
        <v>27049</v>
      </c>
      <c r="AF17" s="26">
        <v>22398</v>
      </c>
      <c r="AG17" s="26">
        <v>43206</v>
      </c>
      <c r="AH17" s="26">
        <v>10082.27</v>
      </c>
      <c r="AI17" s="26">
        <v>21012.9</v>
      </c>
      <c r="AJ17" s="26">
        <v>242322.19</v>
      </c>
      <c r="AK17" s="26">
        <v>297795.5</v>
      </c>
      <c r="AL17" s="26">
        <v>1119</v>
      </c>
      <c r="AM17" s="26">
        <v>2426</v>
      </c>
      <c r="AN17" s="26">
        <v>28603</v>
      </c>
      <c r="AO17" s="26">
        <v>50926</v>
      </c>
      <c r="AP17" s="26">
        <v>4381</v>
      </c>
      <c r="AQ17" s="26">
        <v>9057</v>
      </c>
      <c r="AR17" s="26">
        <v>56599</v>
      </c>
      <c r="AS17" s="26">
        <v>101949</v>
      </c>
      <c r="AT17" s="26">
        <v>19895</v>
      </c>
      <c r="AU17" s="26">
        <v>35993</v>
      </c>
      <c r="AV17" s="26">
        <v>36977</v>
      </c>
      <c r="AW17" s="26">
        <v>70233</v>
      </c>
      <c r="AX17" s="26">
        <v>14753</v>
      </c>
      <c r="AY17" s="26">
        <v>28821</v>
      </c>
      <c r="AZ17" s="26">
        <v>50542</v>
      </c>
      <c r="BA17" s="26">
        <v>93262</v>
      </c>
      <c r="BB17" s="26">
        <v>61058</v>
      </c>
      <c r="BC17" s="26">
        <v>125078</v>
      </c>
      <c r="BD17" s="26">
        <v>91064</v>
      </c>
      <c r="BE17" s="26">
        <v>190654</v>
      </c>
      <c r="BF17" s="26">
        <v>325067</v>
      </c>
      <c r="BG17" s="26">
        <v>324432</v>
      </c>
      <c r="BH17" s="26">
        <v>80849</v>
      </c>
      <c r="BI17" s="26">
        <v>162653</v>
      </c>
      <c r="BJ17" s="26">
        <v>12364</v>
      </c>
      <c r="BK17" s="26">
        <v>25149</v>
      </c>
      <c r="BL17" s="39">
        <f t="shared" si="0"/>
        <v>1558030.72</v>
      </c>
      <c r="BM17" s="39">
        <f t="shared" si="0"/>
        <v>2540812.2200000002</v>
      </c>
    </row>
  </sheetData>
  <mergeCells count="32">
    <mergeCell ref="J3:K3"/>
    <mergeCell ref="B3:C3"/>
    <mergeCell ref="D3:E3"/>
    <mergeCell ref="F3:G3"/>
    <mergeCell ref="H3:I3"/>
    <mergeCell ref="BB3:BC3"/>
    <mergeCell ref="AF3:AG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R3:AS3"/>
    <mergeCell ref="AT3:AU3"/>
    <mergeCell ref="AV3:AW3"/>
    <mergeCell ref="AX3:AY3"/>
    <mergeCell ref="AZ3:BA3"/>
    <mergeCell ref="AH3:AI3"/>
    <mergeCell ref="AJ3:AK3"/>
    <mergeCell ref="AL3:AM3"/>
    <mergeCell ref="AN3:AO3"/>
    <mergeCell ref="AP3:AQ3"/>
    <mergeCell ref="BF3:BG3"/>
    <mergeCell ref="BH3:BI3"/>
    <mergeCell ref="BJ3:BK3"/>
    <mergeCell ref="BL3:BM3"/>
    <mergeCell ref="BD3:B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3" customWidth="1"/>
    <col min="2" max="32" width="16" style="3" customWidth="1"/>
    <col min="33" max="33" width="16" style="4" customWidth="1"/>
    <col min="34" max="16384" width="9.140625" style="3"/>
  </cols>
  <sheetData>
    <row r="1" spans="1:33" ht="18.75" x14ac:dyDescent="0.3">
      <c r="A1" s="5" t="s">
        <v>309</v>
      </c>
    </row>
    <row r="2" spans="1:33" x14ac:dyDescent="0.25">
      <c r="A2" s="3" t="s">
        <v>98</v>
      </c>
    </row>
    <row r="3" spans="1:33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  <c r="AG3" s="43" t="s">
        <v>20</v>
      </c>
    </row>
    <row r="4" spans="1:33" x14ac:dyDescent="0.25">
      <c r="A4" s="24" t="s">
        <v>33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>
        <v>26</v>
      </c>
      <c r="AE4" s="73">
        <v>136</v>
      </c>
      <c r="AF4" s="73"/>
      <c r="AG4" s="44">
        <f t="shared" ref="AG4:AG11" si="0">SUM(B4:AF4)</f>
        <v>162</v>
      </c>
    </row>
    <row r="5" spans="1:33" x14ac:dyDescent="0.25">
      <c r="A5" s="24" t="s">
        <v>34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44">
        <f t="shared" si="0"/>
        <v>0</v>
      </c>
    </row>
    <row r="6" spans="1:33" x14ac:dyDescent="0.25">
      <c r="A6" s="24" t="s">
        <v>35</v>
      </c>
      <c r="B6" s="73"/>
      <c r="C6" s="73">
        <v>164612</v>
      </c>
      <c r="D6" s="73"/>
      <c r="E6" s="73">
        <v>16662</v>
      </c>
      <c r="F6" s="73">
        <f>37692+26164</f>
        <v>63856</v>
      </c>
      <c r="G6" s="73">
        <v>14326</v>
      </c>
      <c r="H6" s="73">
        <v>235356</v>
      </c>
      <c r="I6" s="73"/>
      <c r="J6" s="73"/>
      <c r="K6" s="73"/>
      <c r="L6" s="73">
        <v>141659</v>
      </c>
      <c r="M6" s="73">
        <v>642186</v>
      </c>
      <c r="N6" s="73">
        <v>84599</v>
      </c>
      <c r="O6" s="73"/>
      <c r="P6" s="73">
        <v>74812</v>
      </c>
      <c r="Q6" s="73">
        <v>67105</v>
      </c>
      <c r="R6" s="73">
        <v>38918.519999999997</v>
      </c>
      <c r="S6" s="73"/>
      <c r="T6" s="73"/>
      <c r="U6" s="73">
        <f>10343+12511</f>
        <v>22854</v>
      </c>
      <c r="V6" s="73">
        <v>16903</v>
      </c>
      <c r="W6" s="73">
        <v>77344</v>
      </c>
      <c r="X6" s="73">
        <v>25500</v>
      </c>
      <c r="Y6" s="73">
        <v>133901</v>
      </c>
      <c r="Z6" s="73">
        <v>20</v>
      </c>
      <c r="AA6" s="73">
        <v>574477</v>
      </c>
      <c r="AB6" s="73">
        <v>47054</v>
      </c>
      <c r="AC6" s="73"/>
      <c r="AD6" s="73"/>
      <c r="AE6" s="73"/>
      <c r="AF6" s="73">
        <v>16762</v>
      </c>
      <c r="AG6" s="44">
        <f t="shared" si="0"/>
        <v>2458906.52</v>
      </c>
    </row>
    <row r="7" spans="1:33" x14ac:dyDescent="0.25">
      <c r="A7" s="24" t="s">
        <v>36</v>
      </c>
      <c r="B7" s="73"/>
      <c r="C7" s="73"/>
      <c r="D7" s="73">
        <v>517230</v>
      </c>
      <c r="E7" s="73"/>
      <c r="F7" s="73"/>
      <c r="G7" s="73">
        <v>85476</v>
      </c>
      <c r="H7" s="73"/>
      <c r="I7" s="73">
        <v>355438.49</v>
      </c>
      <c r="J7" s="73"/>
      <c r="K7" s="73"/>
      <c r="L7" s="73"/>
      <c r="M7" s="73">
        <v>6108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>
        <v>1000</v>
      </c>
      <c r="Y7" s="73"/>
      <c r="Z7" s="73"/>
      <c r="AA7" s="73"/>
      <c r="AB7" s="73">
        <v>3187</v>
      </c>
      <c r="AC7" s="73"/>
      <c r="AD7" s="73"/>
      <c r="AE7" s="73"/>
      <c r="AF7" s="73"/>
      <c r="AG7" s="44">
        <f t="shared" si="0"/>
        <v>968439.49</v>
      </c>
    </row>
    <row r="8" spans="1:33" x14ac:dyDescent="0.25">
      <c r="A8" s="24" t="s">
        <v>37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44">
        <f t="shared" si="0"/>
        <v>0</v>
      </c>
    </row>
    <row r="9" spans="1:33" x14ac:dyDescent="0.25">
      <c r="A9" s="24" t="s">
        <v>38</v>
      </c>
      <c r="B9" s="73">
        <f>B11-B10-B8-B7-B6-B5-B4</f>
        <v>1939</v>
      </c>
      <c r="C9" s="73">
        <f t="shared" ref="C9:AB9" si="1">C11-C10-C8-C7-C6-C5-C4</f>
        <v>0</v>
      </c>
      <c r="D9" s="73">
        <f>D11-D10-D8-D7-D6-D5-D4</f>
        <v>0</v>
      </c>
      <c r="E9" s="73">
        <f t="shared" si="1"/>
        <v>0</v>
      </c>
      <c r="F9" s="73">
        <f t="shared" si="1"/>
        <v>207</v>
      </c>
      <c r="G9" s="73">
        <f t="shared" si="1"/>
        <v>0</v>
      </c>
      <c r="H9" s="73">
        <f t="shared" si="1"/>
        <v>2771</v>
      </c>
      <c r="I9" s="73">
        <f t="shared" si="1"/>
        <v>6000.0000000000582</v>
      </c>
      <c r="J9" s="73">
        <f t="shared" si="1"/>
        <v>0</v>
      </c>
      <c r="K9" s="73">
        <f t="shared" si="1"/>
        <v>0</v>
      </c>
      <c r="L9" s="73">
        <f t="shared" si="1"/>
        <v>33596</v>
      </c>
      <c r="M9" s="73">
        <f t="shared" si="1"/>
        <v>0</v>
      </c>
      <c r="N9" s="73">
        <f t="shared" si="1"/>
        <v>12</v>
      </c>
      <c r="O9" s="73">
        <f t="shared" si="1"/>
        <v>0</v>
      </c>
      <c r="P9" s="73">
        <f t="shared" si="1"/>
        <v>0</v>
      </c>
      <c r="Q9" s="73">
        <f t="shared" si="1"/>
        <v>0</v>
      </c>
      <c r="R9" s="73">
        <f t="shared" si="1"/>
        <v>0</v>
      </c>
      <c r="S9" s="73">
        <f t="shared" si="1"/>
        <v>1459.28</v>
      </c>
      <c r="T9" s="73">
        <f t="shared" si="1"/>
        <v>0</v>
      </c>
      <c r="U9" s="73">
        <f t="shared" si="1"/>
        <v>38</v>
      </c>
      <c r="V9" s="73">
        <f t="shared" si="1"/>
        <v>0</v>
      </c>
      <c r="W9" s="73">
        <f t="shared" si="1"/>
        <v>2075</v>
      </c>
      <c r="X9" s="73">
        <f t="shared" si="1"/>
        <v>1260</v>
      </c>
      <c r="Y9" s="73">
        <f t="shared" si="1"/>
        <v>0</v>
      </c>
      <c r="Z9" s="73">
        <f t="shared" si="1"/>
        <v>0</v>
      </c>
      <c r="AA9" s="73">
        <f t="shared" si="1"/>
        <v>300</v>
      </c>
      <c r="AB9" s="73">
        <f t="shared" si="1"/>
        <v>2776</v>
      </c>
      <c r="AC9" s="73"/>
      <c r="AD9" s="73">
        <f t="shared" ref="AD9:AF9" si="2">AD11-AD10-AD8-AD7-AD6-AD5-AD4</f>
        <v>0</v>
      </c>
      <c r="AE9" s="73">
        <f t="shared" si="2"/>
        <v>13328</v>
      </c>
      <c r="AF9" s="73">
        <f t="shared" si="2"/>
        <v>0</v>
      </c>
      <c r="AG9" s="44">
        <f t="shared" si="0"/>
        <v>65761.280000000057</v>
      </c>
    </row>
    <row r="10" spans="1:33" x14ac:dyDescent="0.25">
      <c r="A10" s="24" t="s">
        <v>39</v>
      </c>
      <c r="B10" s="73"/>
      <c r="C10" s="73"/>
      <c r="D10" s="73">
        <v>35329</v>
      </c>
      <c r="E10" s="73">
        <v>871106</v>
      </c>
      <c r="F10" s="73">
        <v>789</v>
      </c>
      <c r="G10" s="73">
        <v>73777</v>
      </c>
      <c r="H10" s="73"/>
      <c r="I10" s="73">
        <v>92859.79</v>
      </c>
      <c r="J10" s="73"/>
      <c r="K10" s="73">
        <v>39420.65</v>
      </c>
      <c r="L10" s="73">
        <v>136808</v>
      </c>
      <c r="M10" s="73">
        <v>284751</v>
      </c>
      <c r="N10" s="73">
        <v>216384</v>
      </c>
      <c r="O10" s="73"/>
      <c r="P10" s="73"/>
      <c r="Q10" s="73"/>
      <c r="R10" s="73"/>
      <c r="S10" s="73"/>
      <c r="T10" s="73"/>
      <c r="U10" s="73"/>
      <c r="V10" s="73"/>
      <c r="W10" s="73">
        <v>140982</v>
      </c>
      <c r="X10" s="73">
        <v>75335</v>
      </c>
      <c r="Y10" s="73">
        <v>143493</v>
      </c>
      <c r="Z10" s="73">
        <v>204582</v>
      </c>
      <c r="AA10" s="73"/>
      <c r="AB10" s="73">
        <v>227906</v>
      </c>
      <c r="AC10" s="73"/>
      <c r="AD10" s="73"/>
      <c r="AE10" s="73"/>
      <c r="AF10" s="73">
        <v>65081</v>
      </c>
      <c r="AG10" s="44">
        <f t="shared" si="0"/>
        <v>2608603.44</v>
      </c>
    </row>
    <row r="11" spans="1:33" s="4" customFormat="1" x14ac:dyDescent="0.25">
      <c r="A11" s="26" t="s">
        <v>40</v>
      </c>
      <c r="B11" s="74">
        <v>1939</v>
      </c>
      <c r="C11" s="74">
        <v>164612</v>
      </c>
      <c r="D11" s="74">
        <v>552559</v>
      </c>
      <c r="E11" s="74">
        <v>887768</v>
      </c>
      <c r="F11" s="74">
        <v>64852</v>
      </c>
      <c r="G11" s="74">
        <v>173579</v>
      </c>
      <c r="H11" s="74">
        <v>238127</v>
      </c>
      <c r="I11" s="74">
        <v>454298.28</v>
      </c>
      <c r="J11" s="74"/>
      <c r="K11" s="74">
        <v>39420.65</v>
      </c>
      <c r="L11" s="74">
        <v>312063</v>
      </c>
      <c r="M11" s="74">
        <v>933045</v>
      </c>
      <c r="N11" s="74">
        <v>300995</v>
      </c>
      <c r="O11" s="74"/>
      <c r="P11" s="74">
        <v>74812</v>
      </c>
      <c r="Q11" s="74">
        <v>67105</v>
      </c>
      <c r="R11" s="74">
        <v>38918.519999999997</v>
      </c>
      <c r="S11" s="74">
        <v>1459.28</v>
      </c>
      <c r="T11" s="74"/>
      <c r="U11" s="74">
        <v>22892</v>
      </c>
      <c r="V11" s="74">
        <v>16903</v>
      </c>
      <c r="W11" s="74">
        <v>220401</v>
      </c>
      <c r="X11" s="74">
        <v>103095</v>
      </c>
      <c r="Y11" s="74">
        <v>277394</v>
      </c>
      <c r="Z11" s="74">
        <v>204602</v>
      </c>
      <c r="AA11" s="74">
        <v>574777</v>
      </c>
      <c r="AB11" s="74">
        <v>280923</v>
      </c>
      <c r="AC11" s="74"/>
      <c r="AD11" s="74">
        <v>26</v>
      </c>
      <c r="AE11" s="74">
        <v>13464</v>
      </c>
      <c r="AF11" s="74">
        <v>81843</v>
      </c>
      <c r="AG11" s="26">
        <f t="shared" si="0"/>
        <v>6101872.7299999995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3" customWidth="1"/>
    <col min="2" max="32" width="16" style="3" customWidth="1"/>
    <col min="33" max="16384" width="9.140625" style="3"/>
  </cols>
  <sheetData>
    <row r="1" spans="1:32" ht="18.75" x14ac:dyDescent="0.3">
      <c r="A1" s="5" t="s">
        <v>308</v>
      </c>
    </row>
    <row r="2" spans="1:32" x14ac:dyDescent="0.25">
      <c r="A2" s="2" t="s">
        <v>98</v>
      </c>
    </row>
    <row r="3" spans="1:32" x14ac:dyDescent="0.25">
      <c r="A3" s="42" t="s">
        <v>0</v>
      </c>
      <c r="B3" s="30" t="s">
        <v>1</v>
      </c>
      <c r="C3" s="30" t="s">
        <v>232</v>
      </c>
      <c r="D3" s="30" t="s">
        <v>2</v>
      </c>
      <c r="E3" s="30" t="s">
        <v>3</v>
      </c>
      <c r="F3" s="30" t="s">
        <v>241</v>
      </c>
      <c r="G3" s="30" t="s">
        <v>233</v>
      </c>
      <c r="H3" s="30" t="s">
        <v>246</v>
      </c>
      <c r="I3" s="30" t="s">
        <v>5</v>
      </c>
      <c r="J3" s="30" t="s">
        <v>4</v>
      </c>
      <c r="K3" s="30" t="s">
        <v>6</v>
      </c>
      <c r="L3" s="30" t="s">
        <v>7</v>
      </c>
      <c r="M3" s="30" t="s">
        <v>8</v>
      </c>
      <c r="N3" s="30" t="s">
        <v>9</v>
      </c>
      <c r="O3" s="30" t="s">
        <v>240</v>
      </c>
      <c r="P3" s="30" t="s">
        <v>10</v>
      </c>
      <c r="Q3" s="30" t="s">
        <v>11</v>
      </c>
      <c r="R3" s="30" t="s">
        <v>234</v>
      </c>
      <c r="S3" s="30" t="s">
        <v>12</v>
      </c>
      <c r="T3" s="30" t="s">
        <v>235</v>
      </c>
      <c r="U3" s="30" t="s">
        <v>300</v>
      </c>
      <c r="V3" s="30" t="s">
        <v>236</v>
      </c>
      <c r="W3" s="30" t="s">
        <v>239</v>
      </c>
      <c r="X3" s="30" t="s">
        <v>13</v>
      </c>
      <c r="Y3" s="30" t="s">
        <v>14</v>
      </c>
      <c r="Z3" s="30" t="s">
        <v>15</v>
      </c>
      <c r="AA3" s="30" t="s">
        <v>16</v>
      </c>
      <c r="AB3" s="30" t="s">
        <v>17</v>
      </c>
      <c r="AC3" s="30" t="s">
        <v>237</v>
      </c>
      <c r="AD3" s="30" t="s">
        <v>238</v>
      </c>
      <c r="AE3" s="30" t="s">
        <v>18</v>
      </c>
      <c r="AF3" s="30" t="s">
        <v>19</v>
      </c>
    </row>
    <row r="4" spans="1:32" x14ac:dyDescent="0.25">
      <c r="A4" s="24" t="s">
        <v>269</v>
      </c>
      <c r="B4" s="24"/>
      <c r="C4" s="24"/>
      <c r="D4" s="24"/>
      <c r="E4" s="24"/>
      <c r="F4" s="24"/>
      <c r="G4" s="24">
        <v>10000</v>
      </c>
      <c r="H4" s="24"/>
      <c r="I4" s="24"/>
      <c r="J4" s="24"/>
      <c r="K4" s="24"/>
      <c r="L4" s="24">
        <v>52900</v>
      </c>
      <c r="M4" s="24">
        <v>3500</v>
      </c>
      <c r="N4" s="24"/>
      <c r="O4" s="24"/>
      <c r="P4" s="24"/>
      <c r="Q4" s="24">
        <v>10000</v>
      </c>
      <c r="R4" s="24">
        <v>11100</v>
      </c>
      <c r="S4" s="24">
        <v>89500</v>
      </c>
      <c r="T4" s="24"/>
      <c r="U4" s="24">
        <v>25000</v>
      </c>
      <c r="V4" s="24"/>
      <c r="W4" s="24">
        <v>23000</v>
      </c>
      <c r="X4" s="24">
        <v>12600</v>
      </c>
      <c r="Y4" s="24"/>
      <c r="Z4" s="24"/>
      <c r="AA4" s="24">
        <v>52000</v>
      </c>
      <c r="AB4" s="24">
        <v>18500</v>
      </c>
      <c r="AC4" s="24"/>
      <c r="AD4" s="24">
        <v>75000</v>
      </c>
      <c r="AE4" s="24">
        <v>90000</v>
      </c>
      <c r="AF4" s="24"/>
    </row>
    <row r="5" spans="1:32" x14ac:dyDescent="0.25">
      <c r="A5" s="24" t="s">
        <v>270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>
        <v>13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5">
      <c r="A6" s="24" t="s">
        <v>271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x14ac:dyDescent="0.25">
      <c r="A7" s="24" t="s">
        <v>31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s="4" customFormat="1" x14ac:dyDescent="0.25">
      <c r="A8" s="26" t="s">
        <v>40</v>
      </c>
      <c r="B8" s="26"/>
      <c r="C8" s="26"/>
      <c r="D8" s="26"/>
      <c r="E8" s="26"/>
      <c r="F8" s="26"/>
      <c r="G8" s="26">
        <v>10000</v>
      </c>
      <c r="H8" s="26"/>
      <c r="I8" s="26"/>
      <c r="J8" s="26"/>
      <c r="K8" s="26"/>
      <c r="L8" s="24">
        <v>52900</v>
      </c>
      <c r="M8" s="26">
        <v>3500</v>
      </c>
      <c r="N8" s="26"/>
      <c r="O8" s="26"/>
      <c r="P8" s="26"/>
      <c r="Q8" s="26">
        <v>10013</v>
      </c>
      <c r="R8" s="26">
        <v>11100</v>
      </c>
      <c r="S8" s="26">
        <v>89500</v>
      </c>
      <c r="T8" s="26"/>
      <c r="U8" s="26">
        <v>25000</v>
      </c>
      <c r="V8" s="26"/>
      <c r="W8" s="26">
        <v>23000</v>
      </c>
      <c r="X8" s="26">
        <v>12600</v>
      </c>
      <c r="Y8" s="24"/>
      <c r="Z8" s="26"/>
      <c r="AA8" s="26">
        <v>52000</v>
      </c>
      <c r="AB8" s="26">
        <v>18500</v>
      </c>
      <c r="AC8" s="26"/>
      <c r="AD8" s="26">
        <v>75000</v>
      </c>
      <c r="AE8" s="26">
        <v>90000</v>
      </c>
      <c r="AF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NL11</vt:lpstr>
      <vt:lpstr>NL12</vt:lpstr>
      <vt:lpstr>NL13</vt:lpstr>
      <vt:lpstr>NL14</vt:lpstr>
      <vt:lpstr>NL15</vt:lpstr>
      <vt:lpstr>NL17</vt:lpstr>
      <vt:lpstr>NL18</vt:lpstr>
      <vt:lpstr>NL20</vt:lpstr>
      <vt:lpstr>NL26</vt:lpstr>
      <vt:lpstr>NL33</vt:lpstr>
      <vt:lpstr>NL36</vt:lpstr>
      <vt:lpstr>NL44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2023-05-22T11:46:07Z</dcterms:modified>
</cp:coreProperties>
</file>